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cdan\Desktop\"/>
    </mc:Choice>
  </mc:AlternateContent>
  <workbookProtection lockStructure="1"/>
  <bookViews>
    <workbookView xWindow="0" yWindow="0" windowWidth="28800" windowHeight="12210" activeTab="1"/>
  </bookViews>
  <sheets>
    <sheet name="6U-11U Roster" sheetId="5" r:id="rId1"/>
    <sheet name="7th Grade Roster" sheetId="1" r:id="rId2"/>
    <sheet name="DV-IDENTITY-0" sheetId="3" state="veryHidden" r:id="rId3"/>
  </sheets>
  <calcPr calcId="162913"/>
</workbook>
</file>

<file path=xl/calcChain.xml><?xml version="1.0" encoding="utf-8"?>
<calcChain xmlns="http://schemas.openxmlformats.org/spreadsheetml/2006/main">
  <c r="A9" i="3" l="1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EX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FN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GD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GT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HJ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HZ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IP2" i="3"/>
  <c r="IQ2" i="3"/>
  <c r="IR2" i="3"/>
  <c r="IS2" i="3"/>
  <c r="IT2" i="3"/>
  <c r="IU2" i="3"/>
  <c r="IV2" i="3"/>
  <c r="A1" i="3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EP1" i="3"/>
  <c r="EQ1" i="3"/>
  <c r="ER1" i="3"/>
  <c r="ES1" i="3"/>
  <c r="ET1" i="3"/>
  <c r="EU1" i="3"/>
  <c r="EV1" i="3"/>
  <c r="EW1" i="3"/>
  <c r="EX1" i="3"/>
  <c r="EY1" i="3"/>
  <c r="EZ1" i="3"/>
  <c r="FA1" i="3"/>
  <c r="FB1" i="3"/>
  <c r="FC1" i="3"/>
  <c r="FD1" i="3"/>
  <c r="FE1" i="3"/>
  <c r="FF1" i="3"/>
  <c r="FG1" i="3"/>
  <c r="FH1" i="3"/>
  <c r="FI1" i="3"/>
  <c r="FJ1" i="3"/>
  <c r="FK1" i="3"/>
  <c r="FL1" i="3"/>
  <c r="FM1" i="3"/>
  <c r="FN1" i="3"/>
  <c r="FO1" i="3"/>
  <c r="FP1" i="3"/>
  <c r="FQ1" i="3"/>
  <c r="FR1" i="3"/>
  <c r="FS1" i="3"/>
  <c r="FT1" i="3"/>
  <c r="FU1" i="3"/>
  <c r="FV1" i="3"/>
  <c r="FW1" i="3"/>
  <c r="FX1" i="3"/>
  <c r="FY1" i="3"/>
  <c r="FZ1" i="3"/>
  <c r="GA1" i="3"/>
  <c r="GB1" i="3"/>
  <c r="GC1" i="3"/>
  <c r="GD1" i="3"/>
  <c r="GE1" i="3"/>
  <c r="GF1" i="3"/>
  <c r="GG1" i="3"/>
  <c r="GH1" i="3"/>
  <c r="GI1" i="3"/>
  <c r="GJ1" i="3"/>
  <c r="GK1" i="3"/>
  <c r="GL1" i="3"/>
  <c r="GM1" i="3"/>
  <c r="GN1" i="3"/>
  <c r="GO1" i="3"/>
  <c r="GP1" i="3"/>
  <c r="GQ1" i="3"/>
  <c r="GR1" i="3"/>
  <c r="GS1" i="3"/>
  <c r="GT1" i="3"/>
  <c r="GU1" i="3"/>
  <c r="GV1" i="3"/>
  <c r="GW1" i="3"/>
  <c r="GX1" i="3"/>
  <c r="GY1" i="3"/>
  <c r="GZ1" i="3"/>
  <c r="HA1" i="3"/>
  <c r="HB1" i="3"/>
  <c r="HC1" i="3"/>
  <c r="HD1" i="3"/>
  <c r="HE1" i="3"/>
  <c r="HF1" i="3"/>
  <c r="HG1" i="3"/>
  <c r="HH1" i="3"/>
  <c r="HI1" i="3"/>
  <c r="HJ1" i="3"/>
  <c r="HK1" i="3"/>
  <c r="HL1" i="3"/>
  <c r="HM1" i="3"/>
  <c r="HN1" i="3"/>
  <c r="HO1" i="3"/>
  <c r="HP1" i="3"/>
  <c r="HQ1" i="3"/>
  <c r="HR1" i="3"/>
  <c r="HS1" i="3"/>
  <c r="HT1" i="3"/>
  <c r="HU1" i="3"/>
  <c r="HV1" i="3"/>
  <c r="HW1" i="3"/>
  <c r="HX1" i="3"/>
  <c r="HY1" i="3"/>
  <c r="HZ1" i="3"/>
  <c r="IA1" i="3"/>
  <c r="IB1" i="3"/>
  <c r="IC1" i="3"/>
  <c r="ID1" i="3"/>
  <c r="IE1" i="3"/>
  <c r="IF1" i="3"/>
  <c r="IG1" i="3"/>
  <c r="IH1" i="3"/>
  <c r="II1" i="3"/>
  <c r="IJ1" i="3"/>
  <c r="IK1" i="3"/>
  <c r="IL1" i="3"/>
  <c r="IM1" i="3"/>
  <c r="IN1" i="3"/>
  <c r="IO1" i="3"/>
  <c r="IP1" i="3"/>
  <c r="IQ1" i="3"/>
  <c r="IR1" i="3"/>
  <c r="IS1" i="3"/>
  <c r="IT1" i="3"/>
  <c r="IU1" i="3"/>
  <c r="IV1" i="3"/>
</calcChain>
</file>

<file path=xl/sharedStrings.xml><?xml version="1.0" encoding="utf-8"?>
<sst xmlns="http://schemas.openxmlformats.org/spreadsheetml/2006/main" count="51" uniqueCount="27">
  <si>
    <t>Agency:</t>
  </si>
  <si>
    <t>Age Division/Class:</t>
  </si>
  <si>
    <t>Department Representative in Charge:</t>
  </si>
  <si>
    <t>Address</t>
  </si>
  <si>
    <t>City</t>
  </si>
  <si>
    <t>Zip</t>
  </si>
  <si>
    <t>Phone</t>
  </si>
  <si>
    <t>Team Name</t>
  </si>
  <si>
    <t>Coach</t>
  </si>
  <si>
    <t>Age</t>
  </si>
  <si>
    <t>Name (Last, First)</t>
  </si>
  <si>
    <t>Conference</t>
  </si>
  <si>
    <t>League Representative/Coordinator</t>
  </si>
  <si>
    <t>Agency Director</t>
  </si>
  <si>
    <t>Head Coach Ph. #1</t>
  </si>
  <si>
    <t>Head Coach Ph. #2</t>
  </si>
  <si>
    <t>Authorized League Official</t>
  </si>
  <si>
    <t>Jersey #</t>
  </si>
  <si>
    <t>AAAAADp9PB4=</t>
  </si>
  <si>
    <t>North Georgia Youth Football Association</t>
  </si>
  <si>
    <t>DOB Verification</t>
  </si>
  <si>
    <t>DOB</t>
  </si>
  <si>
    <t>District Verification</t>
  </si>
  <si>
    <t>Under the penalty of forfeiture, I certify that the named players in the event above are eligible to represent this team and my association or agency and I have explained the NGYFA rules to this team.* As the official responsible for certifying this roster, I attest that I have carefully checked the Birth Date and District Verification Documents prresented to me and found no discrepancies.**</t>
  </si>
  <si>
    <t>One copy of this document will remain on file with the VC of Eligibility; a second copy should remain, at all times, with the Head Coach.</t>
  </si>
  <si>
    <t>OFFICIAL 6U-11U ROSTER</t>
  </si>
  <si>
    <t>OFFICIAL 7th GRADE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</si>
</sst>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m/d/yy;@"/>
    <numFmt numFmtId="170" formatCode="[$-409]mmmm\ d\,\ yyyy;@"/>
  </numFmts>
  <fonts count="5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5" fontId="0" fillId="2" borderId="0" xfId="0" applyNumberFormat="1" applyFill="1"/>
    <xf numFmtId="165" fontId="0" fillId="2" borderId="0" xfId="0" applyNumberFormat="1" applyFill="1" applyAlignment="1">
      <alignment horizontal="left" wrapText="1"/>
    </xf>
    <xf numFmtId="0" fontId="4" fillId="2" borderId="5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0" xfId="0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170" fontId="0" fillId="2" borderId="10" xfId="0" applyNumberFormat="1" applyFill="1" applyBorder="1" applyAlignment="1">
      <alignment horizontal="center" vertical="center"/>
    </xf>
    <xf numFmtId="170" fontId="0" fillId="2" borderId="1" xfId="0" applyNumberFormat="1" applyFill="1" applyBorder="1" applyAlignment="1">
      <alignment horizontal="center" vertical="center"/>
    </xf>
    <xf numFmtId="170" fontId="0" fillId="2" borderId="2" xfId="0" applyNumberForma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170" fontId="4" fillId="2" borderId="4" xfId="0" applyNumberFormat="1" applyFont="1" applyFill="1" applyBorder="1" applyAlignment="1" applyProtection="1">
      <alignment horizontal="center" vertical="center"/>
    </xf>
    <xf numFmtId="170" fontId="4" fillId="2" borderId="5" xfId="0" applyNumberFormat="1" applyFont="1" applyFill="1" applyBorder="1" applyAlignment="1" applyProtection="1">
      <alignment horizontal="center" vertical="center"/>
    </xf>
    <xf numFmtId="170" fontId="4" fillId="2" borderId="6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0" fontId="4" fillId="2" borderId="4" xfId="0" applyNumberFormat="1" applyFont="1" applyFill="1" applyBorder="1" applyAlignment="1">
      <alignment horizontal="center" vertical="center"/>
    </xf>
    <xf numFmtId="170" fontId="4" fillId="2" borderId="5" xfId="0" applyNumberFormat="1" applyFont="1" applyFill="1" applyBorder="1" applyAlignment="1">
      <alignment horizontal="center" vertical="center"/>
    </xf>
    <xf numFmtId="170" fontId="4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/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165" fontId="0" fillId="2" borderId="33" xfId="0" applyNumberFormat="1" applyFill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0" xfId="0" applyFill="1" applyBorder="1"/>
    <xf numFmtId="0" fontId="0" fillId="2" borderId="2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238125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4DF50-7FF7-4A06-8705-8EAF86E9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466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295275</xdr:colOff>
      <xdr:row>0</xdr:row>
      <xdr:rowOff>47625</xdr:rowOff>
    </xdr:from>
    <xdr:to>
      <xdr:col>20</xdr:col>
      <xdr:colOff>19050</xdr:colOff>
      <xdr:row>5</xdr:row>
      <xdr:rowOff>9525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695183-44D1-4185-B30A-58EAF9F3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7625"/>
          <a:ext cx="466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238125</xdr:colOff>
      <xdr:row>4</xdr:row>
      <xdr:rowOff>9525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1B332E40-04AA-4929-B04A-B881C344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466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295275</xdr:colOff>
      <xdr:row>0</xdr:row>
      <xdr:rowOff>47625</xdr:rowOff>
    </xdr:from>
    <xdr:to>
      <xdr:col>20</xdr:col>
      <xdr:colOff>19050</xdr:colOff>
      <xdr:row>5</xdr:row>
      <xdr:rowOff>9525</xdr:rowOff>
    </xdr:to>
    <xdr:pic>
      <xdr:nvPicPr>
        <xdr:cNvPr id="1053" name="Picture 4">
          <a:extLst>
            <a:ext uri="{FF2B5EF4-FFF2-40B4-BE49-F238E27FC236}">
              <a16:creationId xmlns:a16="http://schemas.microsoft.com/office/drawing/2014/main" id="{9D9670FC-A493-4C0E-8B0A-BA485BB00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7625"/>
          <a:ext cx="466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workbookViewId="0">
      <selection activeCell="AC31" sqref="AC31"/>
    </sheetView>
  </sheetViews>
  <sheetFormatPr defaultRowHeight="12.75" x14ac:dyDescent="0.2"/>
  <cols>
    <col min="1" max="6" width="5.5703125" style="1" customWidth="1"/>
    <col min="7" max="7" width="4.42578125" style="1" customWidth="1"/>
    <col min="8" max="8" width="7.28515625" style="21" customWidth="1"/>
    <col min="9" max="9" width="5.5703125" style="1" customWidth="1"/>
    <col min="10" max="10" width="5.28515625" style="1" customWidth="1"/>
    <col min="11" max="11" width="6.85546875" style="1" customWidth="1"/>
    <col min="12" max="12" width="5.5703125" style="1" customWidth="1"/>
    <col min="13" max="13" width="5.85546875" style="1" customWidth="1"/>
    <col min="14" max="14" width="6.42578125" style="1" customWidth="1"/>
    <col min="15" max="17" width="5.85546875" style="1" customWidth="1"/>
    <col min="18" max="18" width="7" style="1" customWidth="1"/>
    <col min="19" max="20" width="5.5703125" style="1" customWidth="1"/>
    <col min="21" max="21" width="3.5703125" style="1" customWidth="1"/>
    <col min="22" max="22" width="5.5703125" style="1" hidden="1" customWidth="1"/>
    <col min="23" max="23" width="16.42578125" style="1" customWidth="1"/>
    <col min="24" max="16384" width="9.140625" style="1"/>
  </cols>
  <sheetData>
    <row r="1" spans="1:22" ht="15.75" customHeight="1" x14ac:dyDescent="0.25">
      <c r="D1" s="89" t="s">
        <v>19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90"/>
      <c r="R1" s="90"/>
    </row>
    <row r="2" spans="1:22" ht="16.5" customHeight="1" x14ac:dyDescent="0.2">
      <c r="D2" s="91" t="s">
        <v>25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2"/>
      <c r="R2" s="92"/>
    </row>
    <row r="3" spans="1:22" ht="2.25" customHeight="1" x14ac:dyDescent="0.2"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2" s="29" customFormat="1" ht="12" customHeight="1" thickBot="1" x14ac:dyDescent="0.25">
      <c r="C4" s="30" t="s">
        <v>0</v>
      </c>
      <c r="D4" s="31"/>
      <c r="E4" s="32"/>
      <c r="F4" s="32"/>
      <c r="G4" s="32"/>
      <c r="H4" s="42"/>
      <c r="I4" s="42"/>
      <c r="J4" s="42"/>
      <c r="K4" s="42"/>
      <c r="L4" s="42"/>
      <c r="N4" s="29" t="s">
        <v>11</v>
      </c>
      <c r="P4" s="33"/>
      <c r="Q4" s="33"/>
      <c r="R4" s="33"/>
      <c r="S4" s="84"/>
      <c r="T4" s="85"/>
      <c r="U4" s="85"/>
    </row>
    <row r="5" spans="1:22" s="29" customFormat="1" ht="3.75" customHeight="1" x14ac:dyDescent="0.2">
      <c r="H5" s="34"/>
    </row>
    <row r="6" spans="1:22" s="29" customFormat="1" ht="11.25" customHeight="1" thickBot="1" x14ac:dyDescent="0.25">
      <c r="A6" s="29" t="s">
        <v>1</v>
      </c>
      <c r="D6" s="41"/>
      <c r="E6" s="42"/>
      <c r="F6" s="42"/>
      <c r="G6" s="29" t="s">
        <v>2</v>
      </c>
      <c r="H6" s="34"/>
      <c r="M6" s="43"/>
      <c r="N6" s="44"/>
      <c r="O6" s="44"/>
      <c r="P6" s="44"/>
      <c r="Q6" s="44"/>
      <c r="R6" s="44"/>
      <c r="S6" s="44"/>
      <c r="T6" s="44"/>
      <c r="U6" s="44"/>
      <c r="V6" s="44"/>
    </row>
    <row r="7" spans="1:22" s="29" customFormat="1" ht="3.75" customHeight="1" x14ac:dyDescent="0.2">
      <c r="H7" s="34"/>
    </row>
    <row r="8" spans="1:22" s="29" customFormat="1" ht="12" customHeight="1" thickBot="1" x14ac:dyDescent="0.25">
      <c r="A8" s="29" t="s">
        <v>3</v>
      </c>
      <c r="C8" s="41"/>
      <c r="D8" s="42"/>
      <c r="E8" s="42"/>
      <c r="F8" s="42"/>
      <c r="G8" s="42"/>
      <c r="H8" s="42"/>
      <c r="I8" s="29" t="s">
        <v>4</v>
      </c>
      <c r="J8" s="41"/>
      <c r="K8" s="42"/>
      <c r="L8" s="29" t="s">
        <v>5</v>
      </c>
      <c r="M8" s="42"/>
      <c r="N8" s="42"/>
      <c r="O8" s="29" t="s">
        <v>6</v>
      </c>
      <c r="P8" s="33"/>
      <c r="Q8" s="33"/>
      <c r="R8" s="33"/>
      <c r="S8" s="43"/>
      <c r="T8" s="44"/>
      <c r="U8" s="44"/>
    </row>
    <row r="9" spans="1:22" s="29" customFormat="1" ht="3.75" customHeight="1" x14ac:dyDescent="0.2">
      <c r="H9" s="34"/>
    </row>
    <row r="10" spans="1:22" s="29" customFormat="1" ht="12" customHeight="1" thickBot="1" x14ac:dyDescent="0.25">
      <c r="A10" s="29" t="s">
        <v>7</v>
      </c>
      <c r="C10" s="41"/>
      <c r="D10" s="42"/>
      <c r="E10" s="42"/>
      <c r="F10" s="42"/>
      <c r="G10" s="42"/>
      <c r="H10" s="42"/>
      <c r="I10" s="42"/>
      <c r="K10" s="29" t="s">
        <v>8</v>
      </c>
      <c r="L10" s="41"/>
      <c r="M10" s="42"/>
      <c r="N10" s="42"/>
      <c r="O10" s="42"/>
      <c r="P10" s="42"/>
      <c r="Q10" s="42"/>
      <c r="R10" s="42"/>
      <c r="S10" s="42"/>
    </row>
    <row r="11" spans="1:22" s="29" customFormat="1" ht="3.75" customHeight="1" x14ac:dyDescent="0.2">
      <c r="H11" s="34"/>
    </row>
    <row r="12" spans="1:22" s="29" customFormat="1" ht="12.75" customHeight="1" thickBot="1" x14ac:dyDescent="0.25">
      <c r="A12" s="29" t="s">
        <v>14</v>
      </c>
      <c r="E12" s="41"/>
      <c r="F12" s="42"/>
      <c r="G12" s="42"/>
      <c r="H12" s="42"/>
      <c r="I12" s="42"/>
      <c r="J12" s="42"/>
      <c r="K12" s="29" t="s">
        <v>15</v>
      </c>
      <c r="N12" s="42"/>
      <c r="O12" s="42"/>
      <c r="P12" s="42"/>
      <c r="Q12" s="42"/>
      <c r="R12" s="42"/>
      <c r="S12" s="42"/>
      <c r="T12" s="42"/>
      <c r="U12" s="42"/>
    </row>
    <row r="13" spans="1:22" ht="3" customHeight="1" thickBot="1" x14ac:dyDescent="0.25"/>
    <row r="14" spans="1:22" ht="9" customHeight="1" x14ac:dyDescent="0.2">
      <c r="A14" s="57" t="s">
        <v>10</v>
      </c>
      <c r="B14" s="58"/>
      <c r="C14" s="58"/>
      <c r="D14" s="58"/>
      <c r="E14" s="58"/>
      <c r="F14" s="59"/>
      <c r="G14" s="63" t="s">
        <v>9</v>
      </c>
      <c r="H14" s="65" t="s">
        <v>21</v>
      </c>
      <c r="I14" s="66"/>
      <c r="J14" s="66"/>
      <c r="K14" s="67"/>
      <c r="L14" s="65" t="s">
        <v>20</v>
      </c>
      <c r="M14" s="71"/>
      <c r="N14" s="71"/>
      <c r="O14" s="72"/>
      <c r="P14" s="45" t="s">
        <v>22</v>
      </c>
      <c r="Q14" s="46"/>
      <c r="R14" s="47"/>
      <c r="S14" s="76" t="s">
        <v>17</v>
      </c>
      <c r="T14" s="71"/>
      <c r="U14" s="77"/>
    </row>
    <row r="15" spans="1:22" ht="5.25" customHeight="1" thickBot="1" x14ac:dyDescent="0.25">
      <c r="A15" s="60"/>
      <c r="B15" s="61"/>
      <c r="C15" s="61"/>
      <c r="D15" s="61"/>
      <c r="E15" s="61"/>
      <c r="F15" s="62"/>
      <c r="G15" s="64"/>
      <c r="H15" s="68"/>
      <c r="I15" s="69"/>
      <c r="J15" s="69"/>
      <c r="K15" s="70"/>
      <c r="L15" s="73"/>
      <c r="M15" s="74"/>
      <c r="N15" s="74"/>
      <c r="O15" s="75"/>
      <c r="P15" s="48"/>
      <c r="Q15" s="49"/>
      <c r="R15" s="50"/>
      <c r="S15" s="78"/>
      <c r="T15" s="74"/>
      <c r="U15" s="79"/>
    </row>
    <row r="16" spans="1:22" ht="11.1" customHeight="1" thickBot="1" x14ac:dyDescent="0.25">
      <c r="A16" s="27">
        <v>1</v>
      </c>
      <c r="B16" s="19"/>
      <c r="C16" s="2"/>
      <c r="D16" s="2"/>
      <c r="E16" s="2"/>
      <c r="F16" s="3"/>
      <c r="G16" s="4"/>
      <c r="H16" s="35"/>
      <c r="I16" s="36"/>
      <c r="J16" s="36"/>
      <c r="K16" s="37"/>
      <c r="L16" s="19"/>
      <c r="M16" s="5"/>
      <c r="N16" s="5"/>
      <c r="O16" s="17"/>
      <c r="P16" s="51"/>
      <c r="Q16" s="52"/>
      <c r="R16" s="53"/>
      <c r="S16" s="5"/>
      <c r="T16" s="5"/>
      <c r="U16" s="6"/>
    </row>
    <row r="17" spans="1:21" ht="11.1" customHeight="1" thickBot="1" x14ac:dyDescent="0.25">
      <c r="A17" s="28">
        <v>2</v>
      </c>
      <c r="B17" s="20"/>
      <c r="C17" s="8"/>
      <c r="D17" s="8"/>
      <c r="E17" s="8"/>
      <c r="F17" s="9"/>
      <c r="G17" s="10"/>
      <c r="H17" s="38"/>
      <c r="I17" s="39"/>
      <c r="J17" s="39"/>
      <c r="K17" s="40"/>
      <c r="L17" s="19"/>
      <c r="M17" s="12"/>
      <c r="N17" s="12"/>
      <c r="O17" s="18"/>
      <c r="P17" s="54"/>
      <c r="Q17" s="55"/>
      <c r="R17" s="56"/>
      <c r="S17" s="12"/>
      <c r="T17" s="12"/>
      <c r="U17" s="13"/>
    </row>
    <row r="18" spans="1:21" ht="11.1" customHeight="1" thickBot="1" x14ac:dyDescent="0.25">
      <c r="A18" s="28">
        <v>3</v>
      </c>
      <c r="B18" s="20"/>
      <c r="C18" s="8"/>
      <c r="D18" s="8"/>
      <c r="E18" s="8"/>
      <c r="F18" s="9"/>
      <c r="G18" s="10"/>
      <c r="H18" s="38"/>
      <c r="I18" s="39"/>
      <c r="J18" s="39"/>
      <c r="K18" s="40"/>
      <c r="L18" s="19"/>
      <c r="M18" s="12"/>
      <c r="N18" s="12"/>
      <c r="O18" s="18"/>
      <c r="P18" s="54"/>
      <c r="Q18" s="55"/>
      <c r="R18" s="56"/>
      <c r="S18" s="12"/>
      <c r="T18" s="12"/>
      <c r="U18" s="13"/>
    </row>
    <row r="19" spans="1:21" ht="11.1" customHeight="1" thickBot="1" x14ac:dyDescent="0.25">
      <c r="A19" s="28">
        <v>4</v>
      </c>
      <c r="B19" s="20"/>
      <c r="C19" s="8"/>
      <c r="D19" s="8"/>
      <c r="E19" s="8"/>
      <c r="F19" s="9"/>
      <c r="G19" s="10"/>
      <c r="H19" s="81"/>
      <c r="I19" s="82"/>
      <c r="J19" s="82"/>
      <c r="K19" s="83"/>
      <c r="L19" s="19"/>
      <c r="M19" s="12"/>
      <c r="N19" s="12"/>
      <c r="O19" s="18"/>
      <c r="P19" s="54"/>
      <c r="Q19" s="55"/>
      <c r="R19" s="56"/>
      <c r="S19" s="12"/>
      <c r="T19" s="12"/>
      <c r="U19" s="13"/>
    </row>
    <row r="20" spans="1:21" ht="11.1" customHeight="1" thickBot="1" x14ac:dyDescent="0.25">
      <c r="A20" s="28">
        <v>5</v>
      </c>
      <c r="B20" s="20"/>
      <c r="C20" s="8"/>
      <c r="D20" s="8"/>
      <c r="E20" s="8"/>
      <c r="F20" s="9"/>
      <c r="G20" s="10"/>
      <c r="H20" s="38"/>
      <c r="I20" s="39"/>
      <c r="J20" s="39"/>
      <c r="K20" s="40"/>
      <c r="L20" s="19"/>
      <c r="M20" s="12"/>
      <c r="N20" s="12"/>
      <c r="O20" s="18"/>
      <c r="P20" s="54"/>
      <c r="Q20" s="55"/>
      <c r="R20" s="56"/>
      <c r="S20" s="12"/>
      <c r="T20" s="12"/>
      <c r="U20" s="13"/>
    </row>
    <row r="21" spans="1:21" ht="11.1" customHeight="1" thickBot="1" x14ac:dyDescent="0.25">
      <c r="A21" s="28">
        <v>6</v>
      </c>
      <c r="B21" s="20"/>
      <c r="C21" s="8"/>
      <c r="D21" s="8"/>
      <c r="E21" s="8"/>
      <c r="F21" s="9"/>
      <c r="G21" s="10"/>
      <c r="H21" s="38"/>
      <c r="I21" s="39"/>
      <c r="J21" s="39"/>
      <c r="K21" s="40"/>
      <c r="L21" s="19"/>
      <c r="M21" s="12"/>
      <c r="N21" s="12"/>
      <c r="O21" s="18"/>
      <c r="P21" s="54"/>
      <c r="Q21" s="55"/>
      <c r="R21" s="56"/>
      <c r="S21" s="12"/>
      <c r="T21" s="12"/>
      <c r="U21" s="13"/>
    </row>
    <row r="22" spans="1:21" ht="11.1" customHeight="1" thickBot="1" x14ac:dyDescent="0.25">
      <c r="A22" s="28">
        <v>7</v>
      </c>
      <c r="B22" s="20"/>
      <c r="C22" s="8"/>
      <c r="D22" s="8"/>
      <c r="E22" s="8"/>
      <c r="F22" s="9"/>
      <c r="G22" s="10"/>
      <c r="H22" s="38"/>
      <c r="I22" s="39"/>
      <c r="J22" s="39"/>
      <c r="K22" s="40"/>
      <c r="L22" s="19"/>
      <c r="M22" s="12"/>
      <c r="N22" s="12"/>
      <c r="O22" s="18"/>
      <c r="P22" s="54"/>
      <c r="Q22" s="55"/>
      <c r="R22" s="56"/>
      <c r="S22" s="12"/>
      <c r="T22" s="12"/>
      <c r="U22" s="13"/>
    </row>
    <row r="23" spans="1:21" ht="11.1" customHeight="1" thickBot="1" x14ac:dyDescent="0.25">
      <c r="A23" s="28">
        <v>8</v>
      </c>
      <c r="B23" s="20"/>
      <c r="C23" s="8"/>
      <c r="D23" s="8"/>
      <c r="E23" s="8"/>
      <c r="F23" s="9"/>
      <c r="G23" s="10"/>
      <c r="H23" s="38"/>
      <c r="I23" s="39"/>
      <c r="J23" s="39"/>
      <c r="K23" s="40"/>
      <c r="L23" s="19"/>
      <c r="M23" s="12"/>
      <c r="N23" s="12"/>
      <c r="O23" s="18"/>
      <c r="P23" s="54"/>
      <c r="Q23" s="55"/>
      <c r="R23" s="56"/>
      <c r="S23" s="12"/>
      <c r="T23" s="12"/>
      <c r="U23" s="13"/>
    </row>
    <row r="24" spans="1:21" ht="11.1" customHeight="1" thickBot="1" x14ac:dyDescent="0.25">
      <c r="A24" s="28">
        <v>9</v>
      </c>
      <c r="B24" s="20"/>
      <c r="C24" s="8"/>
      <c r="D24" s="8"/>
      <c r="E24" s="8"/>
      <c r="F24" s="9"/>
      <c r="G24" s="10"/>
      <c r="H24" s="38"/>
      <c r="I24" s="39"/>
      <c r="J24" s="39"/>
      <c r="K24" s="40"/>
      <c r="L24" s="19"/>
      <c r="M24" s="12"/>
      <c r="N24" s="12"/>
      <c r="O24" s="18"/>
      <c r="P24" s="54"/>
      <c r="Q24" s="55"/>
      <c r="R24" s="56"/>
      <c r="S24" s="12"/>
      <c r="T24" s="12"/>
      <c r="U24" s="13"/>
    </row>
    <row r="25" spans="1:21" ht="11.1" customHeight="1" thickBot="1" x14ac:dyDescent="0.25">
      <c r="A25" s="28">
        <v>10</v>
      </c>
      <c r="B25" s="20"/>
      <c r="C25" s="8"/>
      <c r="D25" s="8"/>
      <c r="E25" s="8"/>
      <c r="F25" s="9"/>
      <c r="G25" s="10"/>
      <c r="H25" s="38"/>
      <c r="I25" s="39"/>
      <c r="J25" s="39"/>
      <c r="K25" s="40"/>
      <c r="L25" s="19"/>
      <c r="M25" s="12"/>
      <c r="N25" s="12"/>
      <c r="O25" s="18"/>
      <c r="P25" s="54"/>
      <c r="Q25" s="55"/>
      <c r="R25" s="56"/>
      <c r="S25" s="12"/>
      <c r="T25" s="12"/>
      <c r="U25" s="13"/>
    </row>
    <row r="26" spans="1:21" ht="11.1" customHeight="1" thickBot="1" x14ac:dyDescent="0.25">
      <c r="A26" s="28">
        <v>11</v>
      </c>
      <c r="B26" s="20"/>
      <c r="C26" s="8"/>
      <c r="D26" s="8"/>
      <c r="E26" s="8"/>
      <c r="F26" s="9"/>
      <c r="G26" s="10"/>
      <c r="H26" s="38"/>
      <c r="I26" s="39"/>
      <c r="J26" s="39"/>
      <c r="K26" s="40"/>
      <c r="L26" s="19"/>
      <c r="M26" s="12"/>
      <c r="N26" s="12"/>
      <c r="O26" s="18"/>
      <c r="P26" s="54"/>
      <c r="Q26" s="55"/>
      <c r="R26" s="56"/>
      <c r="S26" s="12"/>
      <c r="T26" s="12"/>
      <c r="U26" s="13"/>
    </row>
    <row r="27" spans="1:21" ht="11.1" customHeight="1" thickBot="1" x14ac:dyDescent="0.25">
      <c r="A27" s="28">
        <v>12</v>
      </c>
      <c r="B27" s="20"/>
      <c r="C27" s="8"/>
      <c r="D27" s="8"/>
      <c r="E27" s="8"/>
      <c r="F27" s="9"/>
      <c r="G27" s="10"/>
      <c r="H27" s="38"/>
      <c r="I27" s="39"/>
      <c r="J27" s="39"/>
      <c r="K27" s="40"/>
      <c r="L27" s="19"/>
      <c r="M27" s="12"/>
      <c r="N27" s="12"/>
      <c r="O27" s="18"/>
      <c r="P27" s="54"/>
      <c r="Q27" s="55"/>
      <c r="R27" s="56"/>
      <c r="S27" s="12"/>
      <c r="T27" s="12"/>
      <c r="U27" s="13"/>
    </row>
    <row r="28" spans="1:21" ht="11.1" customHeight="1" thickBot="1" x14ac:dyDescent="0.25">
      <c r="A28" s="27">
        <v>13</v>
      </c>
      <c r="B28" s="20"/>
      <c r="C28" s="8"/>
      <c r="D28" s="8"/>
      <c r="E28" s="8"/>
      <c r="F28" s="9"/>
      <c r="G28" s="10"/>
      <c r="H28" s="38"/>
      <c r="I28" s="39"/>
      <c r="J28" s="39"/>
      <c r="K28" s="40"/>
      <c r="L28" s="19"/>
      <c r="M28" s="12"/>
      <c r="N28" s="12"/>
      <c r="O28" s="18"/>
      <c r="P28" s="54"/>
      <c r="Q28" s="55"/>
      <c r="R28" s="56"/>
      <c r="S28" s="12"/>
      <c r="T28" s="12"/>
      <c r="U28" s="13"/>
    </row>
    <row r="29" spans="1:21" ht="11.1" customHeight="1" thickBot="1" x14ac:dyDescent="0.25">
      <c r="A29" s="27">
        <v>14</v>
      </c>
      <c r="B29" s="20"/>
      <c r="C29" s="8"/>
      <c r="D29" s="8"/>
      <c r="E29" s="8"/>
      <c r="F29" s="9"/>
      <c r="G29" s="10"/>
      <c r="H29" s="38"/>
      <c r="I29" s="39"/>
      <c r="J29" s="39"/>
      <c r="K29" s="40"/>
      <c r="L29" s="19"/>
      <c r="M29" s="12"/>
      <c r="N29" s="12"/>
      <c r="O29" s="18"/>
      <c r="P29" s="54"/>
      <c r="Q29" s="55"/>
      <c r="R29" s="56"/>
      <c r="S29" s="12"/>
      <c r="T29" s="12"/>
      <c r="U29" s="13"/>
    </row>
    <row r="30" spans="1:21" ht="11.1" customHeight="1" thickBot="1" x14ac:dyDescent="0.25">
      <c r="A30" s="27">
        <v>15</v>
      </c>
      <c r="B30" s="20"/>
      <c r="C30" s="8"/>
      <c r="D30" s="8"/>
      <c r="E30" s="8"/>
      <c r="F30" s="9"/>
      <c r="G30" s="10"/>
      <c r="H30" s="38"/>
      <c r="I30" s="39"/>
      <c r="J30" s="39"/>
      <c r="K30" s="40"/>
      <c r="L30" s="19"/>
      <c r="M30" s="12"/>
      <c r="N30" s="12"/>
      <c r="O30" s="18"/>
      <c r="P30" s="54"/>
      <c r="Q30" s="55"/>
      <c r="R30" s="56"/>
      <c r="S30" s="12"/>
      <c r="T30" s="12"/>
      <c r="U30" s="13"/>
    </row>
    <row r="31" spans="1:21" ht="11.1" customHeight="1" thickBot="1" x14ac:dyDescent="0.25">
      <c r="A31" s="27">
        <v>16</v>
      </c>
      <c r="B31" s="20"/>
      <c r="C31" s="23"/>
      <c r="D31" s="8"/>
      <c r="E31" s="8"/>
      <c r="F31" s="9"/>
      <c r="G31" s="10"/>
      <c r="H31" s="38"/>
      <c r="I31" s="39"/>
      <c r="J31" s="39"/>
      <c r="K31" s="40"/>
      <c r="L31" s="19"/>
      <c r="M31" s="12"/>
      <c r="N31" s="12"/>
      <c r="O31" s="18"/>
      <c r="P31" s="54"/>
      <c r="Q31" s="55"/>
      <c r="R31" s="56"/>
      <c r="S31" s="12"/>
      <c r="T31" s="12"/>
      <c r="U31" s="13"/>
    </row>
    <row r="32" spans="1:21" ht="11.1" customHeight="1" thickBot="1" x14ac:dyDescent="0.25">
      <c r="A32" s="27">
        <v>17</v>
      </c>
      <c r="B32" s="20"/>
      <c r="C32" s="8"/>
      <c r="D32" s="8"/>
      <c r="E32" s="8"/>
      <c r="F32" s="9"/>
      <c r="G32" s="10"/>
      <c r="H32" s="38"/>
      <c r="I32" s="39"/>
      <c r="J32" s="39"/>
      <c r="K32" s="40"/>
      <c r="L32" s="19"/>
      <c r="M32" s="12"/>
      <c r="N32" s="12"/>
      <c r="O32" s="18"/>
      <c r="P32" s="54"/>
      <c r="Q32" s="55"/>
      <c r="R32" s="56"/>
      <c r="S32" s="12"/>
      <c r="T32" s="12"/>
      <c r="U32" s="13"/>
    </row>
    <row r="33" spans="1:23" ht="11.1" customHeight="1" thickBot="1" x14ac:dyDescent="0.25">
      <c r="A33" s="27">
        <v>18</v>
      </c>
      <c r="B33" s="20"/>
      <c r="C33" s="8"/>
      <c r="D33" s="8"/>
      <c r="E33" s="8"/>
      <c r="F33" s="9"/>
      <c r="G33" s="10"/>
      <c r="H33" s="86"/>
      <c r="I33" s="87"/>
      <c r="J33" s="87"/>
      <c r="K33" s="88"/>
      <c r="L33" s="19"/>
      <c r="M33" s="12"/>
      <c r="N33" s="12"/>
      <c r="O33" s="18"/>
      <c r="P33" s="54"/>
      <c r="Q33" s="55"/>
      <c r="R33" s="56"/>
      <c r="S33" s="12"/>
      <c r="T33" s="12"/>
      <c r="U33" s="13"/>
    </row>
    <row r="34" spans="1:23" ht="11.1" customHeight="1" thickBot="1" x14ac:dyDescent="0.25">
      <c r="A34" s="27">
        <v>19</v>
      </c>
      <c r="B34" s="20"/>
      <c r="C34" s="8"/>
      <c r="D34" s="8"/>
      <c r="E34" s="8"/>
      <c r="F34" s="9"/>
      <c r="G34" s="10"/>
      <c r="H34" s="86"/>
      <c r="I34" s="87"/>
      <c r="J34" s="87"/>
      <c r="K34" s="88"/>
      <c r="L34" s="19"/>
      <c r="M34" s="12"/>
      <c r="N34" s="12"/>
      <c r="O34" s="18"/>
      <c r="P34" s="54"/>
      <c r="Q34" s="55"/>
      <c r="R34" s="56"/>
      <c r="S34" s="12"/>
      <c r="T34" s="12"/>
      <c r="U34" s="13"/>
    </row>
    <row r="35" spans="1:23" ht="11.1" customHeight="1" thickBot="1" x14ac:dyDescent="0.25">
      <c r="A35" s="27">
        <v>20</v>
      </c>
      <c r="B35" s="20"/>
      <c r="C35" s="8"/>
      <c r="D35" s="8"/>
      <c r="E35" s="8"/>
      <c r="F35" s="9"/>
      <c r="G35" s="10"/>
      <c r="H35" s="38"/>
      <c r="I35" s="39"/>
      <c r="J35" s="39"/>
      <c r="K35" s="40"/>
      <c r="L35" s="19"/>
      <c r="M35" s="12"/>
      <c r="N35" s="12"/>
      <c r="O35" s="18"/>
      <c r="P35" s="54"/>
      <c r="Q35" s="55"/>
      <c r="R35" s="56"/>
      <c r="S35" s="12"/>
      <c r="T35" s="12"/>
      <c r="U35" s="13"/>
    </row>
    <row r="36" spans="1:23" ht="11.1" customHeight="1" thickBot="1" x14ac:dyDescent="0.25">
      <c r="A36" s="27">
        <v>21</v>
      </c>
      <c r="B36" s="20"/>
      <c r="C36" s="8"/>
      <c r="D36" s="8"/>
      <c r="E36" s="8"/>
      <c r="F36" s="9"/>
      <c r="G36" s="10"/>
      <c r="H36" s="38"/>
      <c r="I36" s="39"/>
      <c r="J36" s="39"/>
      <c r="K36" s="40"/>
      <c r="L36" s="19"/>
      <c r="M36" s="12"/>
      <c r="N36" s="12"/>
      <c r="O36" s="18"/>
      <c r="P36" s="54"/>
      <c r="Q36" s="55"/>
      <c r="R36" s="56"/>
      <c r="S36" s="12"/>
      <c r="T36" s="12"/>
      <c r="U36" s="13"/>
    </row>
    <row r="37" spans="1:23" ht="11.1" customHeight="1" thickBot="1" x14ac:dyDescent="0.25">
      <c r="A37" s="27">
        <v>22</v>
      </c>
      <c r="B37" s="20"/>
      <c r="C37" s="8"/>
      <c r="D37" s="8"/>
      <c r="E37" s="8"/>
      <c r="F37" s="9"/>
      <c r="G37" s="10"/>
      <c r="H37" s="38"/>
      <c r="I37" s="39"/>
      <c r="J37" s="39"/>
      <c r="K37" s="40"/>
      <c r="L37" s="19"/>
      <c r="M37" s="12"/>
      <c r="N37" s="12"/>
      <c r="O37" s="18"/>
      <c r="P37" s="54"/>
      <c r="Q37" s="55"/>
      <c r="R37" s="56"/>
      <c r="S37" s="12"/>
      <c r="T37" s="12"/>
      <c r="U37" s="13"/>
    </row>
    <row r="38" spans="1:23" ht="11.1" customHeight="1" thickBot="1" x14ac:dyDescent="0.25">
      <c r="A38" s="27">
        <v>23</v>
      </c>
      <c r="B38" s="20"/>
      <c r="C38" s="8"/>
      <c r="D38" s="8"/>
      <c r="E38" s="8"/>
      <c r="F38" s="9"/>
      <c r="G38" s="10"/>
      <c r="H38" s="38"/>
      <c r="I38" s="39"/>
      <c r="J38" s="39"/>
      <c r="K38" s="40"/>
      <c r="L38" s="19"/>
      <c r="M38" s="12"/>
      <c r="N38" s="12"/>
      <c r="O38" s="18"/>
      <c r="P38" s="54"/>
      <c r="Q38" s="55"/>
      <c r="R38" s="56"/>
      <c r="S38" s="12"/>
      <c r="T38" s="12"/>
      <c r="U38" s="13"/>
    </row>
    <row r="39" spans="1:23" ht="11.1" customHeight="1" x14ac:dyDescent="0.2">
      <c r="A39" s="27">
        <v>24</v>
      </c>
      <c r="B39" s="20"/>
      <c r="C39" s="8"/>
      <c r="D39" s="8"/>
      <c r="E39" s="8"/>
      <c r="F39" s="9"/>
      <c r="G39" s="10"/>
      <c r="H39" s="38"/>
      <c r="I39" s="39"/>
      <c r="J39" s="39"/>
      <c r="K39" s="40"/>
      <c r="L39" s="19"/>
      <c r="M39" s="12"/>
      <c r="N39" s="12"/>
      <c r="O39" s="18"/>
      <c r="P39" s="54"/>
      <c r="Q39" s="55"/>
      <c r="R39" s="56"/>
      <c r="S39" s="12"/>
      <c r="T39" s="12"/>
      <c r="U39" s="13"/>
    </row>
    <row r="40" spans="1:23" ht="11.1" customHeight="1" x14ac:dyDescent="0.2">
      <c r="A40" s="27">
        <v>25</v>
      </c>
      <c r="B40" s="20"/>
      <c r="C40" s="8"/>
      <c r="D40" s="8"/>
      <c r="E40" s="8"/>
      <c r="F40" s="9"/>
      <c r="G40" s="10"/>
      <c r="H40" s="11"/>
      <c r="I40" s="12"/>
      <c r="J40" s="12"/>
      <c r="K40" s="13"/>
      <c r="L40" s="7"/>
      <c r="M40" s="12"/>
      <c r="N40" s="12"/>
      <c r="O40" s="18"/>
      <c r="P40" s="54"/>
      <c r="Q40" s="55"/>
      <c r="R40" s="56"/>
      <c r="S40" s="12"/>
      <c r="T40" s="12"/>
      <c r="U40" s="13"/>
    </row>
    <row r="41" spans="1:23" ht="11.1" customHeight="1" x14ac:dyDescent="0.2">
      <c r="A41" s="27">
        <v>26</v>
      </c>
      <c r="B41" s="20"/>
      <c r="C41" s="8"/>
      <c r="D41" s="8"/>
      <c r="E41" s="8"/>
      <c r="F41" s="9"/>
      <c r="G41" s="10"/>
      <c r="H41" s="11"/>
      <c r="I41" s="12"/>
      <c r="J41" s="12"/>
      <c r="K41" s="13"/>
      <c r="L41" s="7"/>
      <c r="M41" s="12"/>
      <c r="N41" s="12"/>
      <c r="O41" s="18"/>
      <c r="P41" s="54"/>
      <c r="Q41" s="55"/>
      <c r="R41" s="56"/>
      <c r="S41" s="12"/>
      <c r="T41" s="12"/>
      <c r="U41" s="13"/>
    </row>
    <row r="42" spans="1:23" ht="11.1" customHeight="1" x14ac:dyDescent="0.2">
      <c r="A42" s="27">
        <v>27</v>
      </c>
      <c r="B42" s="20"/>
      <c r="C42" s="8"/>
      <c r="D42" s="8"/>
      <c r="E42" s="8"/>
      <c r="F42" s="9"/>
      <c r="G42" s="10"/>
      <c r="H42" s="11"/>
      <c r="I42" s="12"/>
      <c r="J42" s="12"/>
      <c r="K42" s="13"/>
      <c r="L42" s="7"/>
      <c r="M42" s="12"/>
      <c r="N42" s="12"/>
      <c r="O42" s="18"/>
      <c r="P42" s="54"/>
      <c r="Q42" s="55"/>
      <c r="R42" s="56"/>
      <c r="S42" s="12"/>
      <c r="T42" s="12"/>
      <c r="U42" s="13"/>
    </row>
    <row r="43" spans="1:23" ht="11.1" customHeight="1" x14ac:dyDescent="0.2">
      <c r="A43" s="27">
        <v>28</v>
      </c>
      <c r="B43" s="20"/>
      <c r="C43" s="8"/>
      <c r="D43" s="8"/>
      <c r="E43" s="8"/>
      <c r="F43" s="9"/>
      <c r="G43" s="10"/>
      <c r="H43" s="11"/>
      <c r="I43" s="12"/>
      <c r="J43" s="12"/>
      <c r="K43" s="13"/>
      <c r="L43" s="7"/>
      <c r="M43" s="12"/>
      <c r="N43" s="12"/>
      <c r="O43" s="18"/>
      <c r="P43" s="54"/>
      <c r="Q43" s="55"/>
      <c r="R43" s="56"/>
      <c r="S43" s="12"/>
      <c r="T43" s="12"/>
      <c r="U43" s="13"/>
    </row>
    <row r="44" spans="1:23" ht="11.1" customHeight="1" x14ac:dyDescent="0.2">
      <c r="A44" s="27">
        <v>29</v>
      </c>
      <c r="B44" s="20"/>
      <c r="C44" s="8"/>
      <c r="D44" s="8"/>
      <c r="E44" s="8"/>
      <c r="F44" s="9"/>
      <c r="G44" s="10"/>
      <c r="H44" s="11"/>
      <c r="I44" s="12"/>
      <c r="J44" s="12"/>
      <c r="K44" s="13"/>
      <c r="L44" s="7"/>
      <c r="M44" s="12"/>
      <c r="N44" s="12"/>
      <c r="O44" s="18"/>
      <c r="P44" s="54"/>
      <c r="Q44" s="55"/>
      <c r="R44" s="56"/>
      <c r="S44" s="12"/>
      <c r="T44" s="12"/>
      <c r="U44" s="13"/>
    </row>
    <row r="45" spans="1:23" ht="11.1" customHeight="1" x14ac:dyDescent="0.2">
      <c r="A45" s="28">
        <v>30</v>
      </c>
      <c r="B45" s="20"/>
      <c r="C45" s="8"/>
      <c r="D45" s="8"/>
      <c r="E45" s="8"/>
      <c r="F45" s="9"/>
      <c r="G45" s="10"/>
      <c r="H45" s="11"/>
      <c r="I45" s="12"/>
      <c r="J45" s="12"/>
      <c r="K45" s="13"/>
      <c r="L45" s="7"/>
      <c r="M45" s="12"/>
      <c r="N45" s="12"/>
      <c r="O45" s="18"/>
      <c r="P45" s="54"/>
      <c r="Q45" s="55"/>
      <c r="R45" s="56"/>
      <c r="S45" s="12"/>
      <c r="T45" s="12"/>
      <c r="U45" s="13"/>
    </row>
    <row r="46" spans="1:23" ht="11.1" customHeight="1" thickBot="1" x14ac:dyDescent="0.25">
      <c r="A46" s="113">
        <v>31</v>
      </c>
      <c r="B46" s="100"/>
      <c r="C46" s="101"/>
      <c r="D46" s="101"/>
      <c r="E46" s="101"/>
      <c r="F46" s="102"/>
      <c r="G46" s="103"/>
      <c r="H46" s="104"/>
      <c r="I46" s="105"/>
      <c r="J46" s="105"/>
      <c r="K46" s="106"/>
      <c r="L46" s="107"/>
      <c r="M46" s="105"/>
      <c r="N46" s="105"/>
      <c r="O46" s="108"/>
      <c r="P46" s="109"/>
      <c r="Q46" s="110"/>
      <c r="R46" s="111"/>
      <c r="S46" s="105"/>
      <c r="T46" s="105"/>
      <c r="U46" s="106"/>
    </row>
    <row r="47" spans="1:23" ht="11.1" customHeight="1" x14ac:dyDescent="0.2">
      <c r="A47" s="95"/>
      <c r="B47" s="30"/>
      <c r="C47" s="31"/>
      <c r="D47" s="31"/>
      <c r="E47" s="31"/>
      <c r="F47" s="31"/>
      <c r="G47" s="95"/>
      <c r="H47" s="96"/>
      <c r="I47" s="95"/>
      <c r="J47" s="95"/>
      <c r="K47" s="95"/>
      <c r="L47" s="31"/>
      <c r="M47" s="95"/>
      <c r="N47" s="95"/>
      <c r="O47" s="95"/>
      <c r="P47" s="95"/>
      <c r="Q47" s="97"/>
      <c r="R47" s="97"/>
      <c r="S47" s="95"/>
      <c r="T47" s="95"/>
      <c r="U47" s="95"/>
      <c r="V47" s="112"/>
      <c r="W47" s="112"/>
    </row>
    <row r="48" spans="1:23" ht="11.1" customHeight="1" x14ac:dyDescent="0.2">
      <c r="A48" s="95"/>
      <c r="B48" s="30"/>
      <c r="C48" s="31"/>
      <c r="D48" s="31"/>
      <c r="E48" s="31"/>
      <c r="F48" s="31"/>
      <c r="G48" s="95"/>
      <c r="H48" s="96"/>
      <c r="I48" s="95"/>
      <c r="J48" s="95"/>
      <c r="K48" s="95"/>
      <c r="L48" s="31"/>
      <c r="M48" s="95"/>
      <c r="N48" s="95"/>
      <c r="O48" s="95"/>
      <c r="P48" s="95"/>
      <c r="Q48" s="97"/>
      <c r="R48" s="97"/>
      <c r="S48" s="95"/>
      <c r="T48" s="95"/>
      <c r="U48" s="95"/>
      <c r="V48" s="112"/>
      <c r="W48" s="112"/>
    </row>
    <row r="49" spans="1:23" ht="11.1" customHeight="1" x14ac:dyDescent="0.2">
      <c r="A49" s="95"/>
      <c r="B49" s="30"/>
      <c r="C49" s="31"/>
      <c r="D49" s="31"/>
      <c r="E49" s="31"/>
      <c r="F49" s="31"/>
      <c r="G49" s="95"/>
      <c r="H49" s="96"/>
      <c r="I49" s="95"/>
      <c r="J49" s="95"/>
      <c r="K49" s="95"/>
      <c r="L49" s="31"/>
      <c r="M49" s="95"/>
      <c r="N49" s="95"/>
      <c r="O49" s="95"/>
      <c r="P49" s="95"/>
      <c r="Q49" s="97"/>
      <c r="R49" s="97"/>
      <c r="S49" s="95"/>
      <c r="T49" s="95"/>
      <c r="U49" s="95"/>
      <c r="V49" s="112"/>
      <c r="W49" s="112"/>
    </row>
    <row r="50" spans="1:23" ht="11.1" customHeight="1" x14ac:dyDescent="0.2">
      <c r="A50" s="95"/>
      <c r="B50" s="30"/>
      <c r="C50" s="31"/>
      <c r="D50" s="31"/>
      <c r="E50" s="31"/>
      <c r="F50" s="31"/>
      <c r="G50" s="95"/>
      <c r="H50" s="96"/>
      <c r="I50" s="95"/>
      <c r="J50" s="95"/>
      <c r="K50" s="95"/>
      <c r="L50" s="31"/>
      <c r="M50" s="95"/>
      <c r="N50" s="95"/>
      <c r="O50" s="95"/>
      <c r="P50" s="98"/>
      <c r="Q50" s="99"/>
      <c r="R50" s="99"/>
      <c r="S50" s="95"/>
      <c r="T50" s="95"/>
      <c r="U50" s="95"/>
      <c r="V50" s="112"/>
      <c r="W50" s="112"/>
    </row>
    <row r="51" spans="1:23" x14ac:dyDescent="0.2">
      <c r="A51" s="93" t="s">
        <v>23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0"/>
      <c r="W51" s="90"/>
    </row>
    <row r="52" spans="1:23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0"/>
      <c r="W52" s="90"/>
    </row>
    <row r="53" spans="1:23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0"/>
      <c r="W53" s="90"/>
    </row>
    <row r="54" spans="1:23" ht="12.75" customHeight="1" x14ac:dyDescent="0.2">
      <c r="A54" s="93" t="s">
        <v>24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14"/>
      <c r="W54" s="14"/>
    </row>
    <row r="55" spans="1:23" ht="4.5" customHeight="1" x14ac:dyDescent="0.2">
      <c r="G55" s="16"/>
      <c r="H55" s="22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3" ht="13.5" thickBot="1" x14ac:dyDescent="0.25">
      <c r="A56" s="80"/>
      <c r="B56" s="80"/>
      <c r="C56" s="80"/>
      <c r="D56" s="80"/>
      <c r="E56" s="80"/>
      <c r="F56" s="14"/>
      <c r="G56" s="80"/>
      <c r="H56" s="80"/>
      <c r="I56" s="80"/>
      <c r="J56" s="80"/>
      <c r="K56" s="80"/>
      <c r="M56" s="80"/>
      <c r="N56" s="80"/>
      <c r="O56" s="80"/>
      <c r="P56" s="80"/>
      <c r="Q56" s="80"/>
      <c r="R56" s="80"/>
      <c r="S56" s="80"/>
      <c r="T56" s="80"/>
      <c r="U56" s="80"/>
    </row>
    <row r="57" spans="1:23" x14ac:dyDescent="0.2">
      <c r="A57" s="1" t="s">
        <v>12</v>
      </c>
      <c r="G57" s="1" t="s">
        <v>13</v>
      </c>
      <c r="L57" s="15"/>
      <c r="M57" s="1" t="s">
        <v>16</v>
      </c>
    </row>
    <row r="58" spans="1:23" ht="1.5" customHeight="1" x14ac:dyDescent="0.2"/>
  </sheetData>
  <mergeCells count="80">
    <mergeCell ref="P50:R50"/>
    <mergeCell ref="A51:W53"/>
    <mergeCell ref="A54:U54"/>
    <mergeCell ref="A56:E56"/>
    <mergeCell ref="G56:K56"/>
    <mergeCell ref="M56:U56"/>
    <mergeCell ref="P40:R40"/>
    <mergeCell ref="P41:R41"/>
    <mergeCell ref="P42:R42"/>
    <mergeCell ref="P43:R43"/>
    <mergeCell ref="P44:R44"/>
    <mergeCell ref="P45:R45"/>
    <mergeCell ref="H37:K37"/>
    <mergeCell ref="P37:R37"/>
    <mergeCell ref="H38:K38"/>
    <mergeCell ref="P38:R38"/>
    <mergeCell ref="H39:K39"/>
    <mergeCell ref="P39:R39"/>
    <mergeCell ref="H34:K34"/>
    <mergeCell ref="P34:R34"/>
    <mergeCell ref="H35:K35"/>
    <mergeCell ref="P35:R35"/>
    <mergeCell ref="H36:K36"/>
    <mergeCell ref="P36:R36"/>
    <mergeCell ref="H31:K31"/>
    <mergeCell ref="P31:R31"/>
    <mergeCell ref="H32:K32"/>
    <mergeCell ref="P32:R32"/>
    <mergeCell ref="H33:K33"/>
    <mergeCell ref="P33:R33"/>
    <mergeCell ref="H28:K28"/>
    <mergeCell ref="P28:R28"/>
    <mergeCell ref="H29:K29"/>
    <mergeCell ref="P29:R29"/>
    <mergeCell ref="H30:K30"/>
    <mergeCell ref="P30:R30"/>
    <mergeCell ref="H25:K25"/>
    <mergeCell ref="P25:R25"/>
    <mergeCell ref="H26:K26"/>
    <mergeCell ref="P26:R26"/>
    <mergeCell ref="H27:K27"/>
    <mergeCell ref="P27:R27"/>
    <mergeCell ref="H22:K22"/>
    <mergeCell ref="P22:R22"/>
    <mergeCell ref="H23:K23"/>
    <mergeCell ref="P23:R23"/>
    <mergeCell ref="H24:K24"/>
    <mergeCell ref="P24:R24"/>
    <mergeCell ref="H19:K19"/>
    <mergeCell ref="P19:R19"/>
    <mergeCell ref="H20:K20"/>
    <mergeCell ref="P20:R20"/>
    <mergeCell ref="H21:K21"/>
    <mergeCell ref="P21:R21"/>
    <mergeCell ref="H16:K16"/>
    <mergeCell ref="P16:R16"/>
    <mergeCell ref="H17:K17"/>
    <mergeCell ref="P17:R17"/>
    <mergeCell ref="H18:K18"/>
    <mergeCell ref="P18:R18"/>
    <mergeCell ref="E12:J12"/>
    <mergeCell ref="N12:U12"/>
    <mergeCell ref="A14:F15"/>
    <mergeCell ref="G14:G15"/>
    <mergeCell ref="H14:K15"/>
    <mergeCell ref="L14:O15"/>
    <mergeCell ref="P14:R15"/>
    <mergeCell ref="S14:U15"/>
    <mergeCell ref="C8:H8"/>
    <mergeCell ref="J8:K8"/>
    <mergeCell ref="M8:N8"/>
    <mergeCell ref="S8:U8"/>
    <mergeCell ref="C10:I10"/>
    <mergeCell ref="L10:S10"/>
    <mergeCell ref="D1:R1"/>
    <mergeCell ref="D2:R3"/>
    <mergeCell ref="H4:L4"/>
    <mergeCell ref="S4:U4"/>
    <mergeCell ref="D6:F6"/>
    <mergeCell ref="M6:V6"/>
  </mergeCells>
  <printOptions gridLines="1"/>
  <pageMargins left="0.25" right="0.25" top="0.25" bottom="0" header="0.5" footer="0.5"/>
  <pageSetup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8"/>
  <sheetViews>
    <sheetView tabSelected="1" workbookViewId="0">
      <selection activeCell="AB36" sqref="AB36"/>
    </sheetView>
  </sheetViews>
  <sheetFormatPr defaultRowHeight="12.75" x14ac:dyDescent="0.2"/>
  <cols>
    <col min="1" max="6" width="5.5703125" style="1" customWidth="1"/>
    <col min="7" max="7" width="4.42578125" style="1" customWidth="1"/>
    <col min="8" max="8" width="7.28515625" style="21" customWidth="1"/>
    <col min="9" max="9" width="5.5703125" style="1" customWidth="1"/>
    <col min="10" max="10" width="5.28515625" style="1" customWidth="1"/>
    <col min="11" max="11" width="6.85546875" style="1" customWidth="1"/>
    <col min="12" max="12" width="5.5703125" style="1" customWidth="1"/>
    <col min="13" max="13" width="5.85546875" style="1" customWidth="1"/>
    <col min="14" max="14" width="6.42578125" style="1" customWidth="1"/>
    <col min="15" max="17" width="5.85546875" style="1" customWidth="1"/>
    <col min="18" max="18" width="7" style="1" customWidth="1"/>
    <col min="19" max="20" width="5.5703125" style="1" customWidth="1"/>
    <col min="21" max="21" width="3.5703125" style="1" customWidth="1"/>
    <col min="22" max="22" width="5.5703125" style="1" hidden="1" customWidth="1"/>
    <col min="23" max="23" width="16.42578125" style="1" customWidth="1"/>
    <col min="24" max="16384" width="9.140625" style="1"/>
  </cols>
  <sheetData>
    <row r="1" spans="1:22" ht="15.75" customHeight="1" x14ac:dyDescent="0.25">
      <c r="D1" s="89" t="s">
        <v>19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90"/>
      <c r="R1" s="90"/>
    </row>
    <row r="2" spans="1:22" ht="16.5" customHeight="1" x14ac:dyDescent="0.2">
      <c r="D2" s="91" t="s">
        <v>26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2"/>
      <c r="R2" s="92"/>
    </row>
    <row r="3" spans="1:22" ht="2.25" customHeight="1" x14ac:dyDescent="0.2"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2" s="29" customFormat="1" ht="12" customHeight="1" thickBot="1" x14ac:dyDescent="0.25">
      <c r="C4" s="30" t="s">
        <v>0</v>
      </c>
      <c r="D4" s="31"/>
      <c r="E4" s="32"/>
      <c r="F4" s="32"/>
      <c r="G4" s="32"/>
      <c r="H4" s="42"/>
      <c r="I4" s="42"/>
      <c r="J4" s="42"/>
      <c r="K4" s="42"/>
      <c r="L4" s="42"/>
      <c r="N4" s="29" t="s">
        <v>11</v>
      </c>
      <c r="P4" s="33"/>
      <c r="Q4" s="33"/>
      <c r="R4" s="33"/>
      <c r="S4" s="84"/>
      <c r="T4" s="85"/>
      <c r="U4" s="85"/>
    </row>
    <row r="5" spans="1:22" s="29" customFormat="1" ht="3.75" customHeight="1" x14ac:dyDescent="0.2">
      <c r="H5" s="34"/>
    </row>
    <row r="6" spans="1:22" s="29" customFormat="1" ht="11.25" customHeight="1" thickBot="1" x14ac:dyDescent="0.25">
      <c r="A6" s="29" t="s">
        <v>1</v>
      </c>
      <c r="D6" s="41"/>
      <c r="E6" s="42"/>
      <c r="F6" s="42"/>
      <c r="G6" s="29" t="s">
        <v>2</v>
      </c>
      <c r="H6" s="34"/>
      <c r="M6" s="43"/>
      <c r="N6" s="44"/>
      <c r="O6" s="44"/>
      <c r="P6" s="44"/>
      <c r="Q6" s="44"/>
      <c r="R6" s="44"/>
      <c r="S6" s="44"/>
      <c r="T6" s="44"/>
      <c r="U6" s="44"/>
      <c r="V6" s="44"/>
    </row>
    <row r="7" spans="1:22" s="29" customFormat="1" ht="3.75" customHeight="1" x14ac:dyDescent="0.2">
      <c r="H7" s="34"/>
    </row>
    <row r="8" spans="1:22" s="29" customFormat="1" ht="12" customHeight="1" thickBot="1" x14ac:dyDescent="0.25">
      <c r="A8" s="29" t="s">
        <v>3</v>
      </c>
      <c r="C8" s="41"/>
      <c r="D8" s="42"/>
      <c r="E8" s="42"/>
      <c r="F8" s="42"/>
      <c r="G8" s="42"/>
      <c r="H8" s="42"/>
      <c r="I8" s="29" t="s">
        <v>4</v>
      </c>
      <c r="J8" s="41"/>
      <c r="K8" s="42"/>
      <c r="L8" s="29" t="s">
        <v>5</v>
      </c>
      <c r="M8" s="42"/>
      <c r="N8" s="42"/>
      <c r="O8" s="29" t="s">
        <v>6</v>
      </c>
      <c r="P8" s="33"/>
      <c r="Q8" s="33"/>
      <c r="R8" s="33"/>
      <c r="S8" s="43"/>
      <c r="T8" s="44"/>
      <c r="U8" s="44"/>
    </row>
    <row r="9" spans="1:22" s="29" customFormat="1" ht="3.75" customHeight="1" x14ac:dyDescent="0.2">
      <c r="H9" s="34"/>
    </row>
    <row r="10" spans="1:22" s="29" customFormat="1" ht="12" customHeight="1" thickBot="1" x14ac:dyDescent="0.25">
      <c r="A10" s="29" t="s">
        <v>7</v>
      </c>
      <c r="C10" s="41"/>
      <c r="D10" s="42"/>
      <c r="E10" s="42"/>
      <c r="F10" s="42"/>
      <c r="G10" s="42"/>
      <c r="H10" s="42"/>
      <c r="I10" s="42"/>
      <c r="K10" s="29" t="s">
        <v>8</v>
      </c>
      <c r="L10" s="41"/>
      <c r="M10" s="42"/>
      <c r="N10" s="42"/>
      <c r="O10" s="42"/>
      <c r="P10" s="42"/>
      <c r="Q10" s="42"/>
      <c r="R10" s="42"/>
      <c r="S10" s="42"/>
    </row>
    <row r="11" spans="1:22" s="29" customFormat="1" ht="3.75" customHeight="1" x14ac:dyDescent="0.2">
      <c r="H11" s="34"/>
    </row>
    <row r="12" spans="1:22" s="29" customFormat="1" ht="12.75" customHeight="1" thickBot="1" x14ac:dyDescent="0.25">
      <c r="A12" s="29" t="s">
        <v>14</v>
      </c>
      <c r="E12" s="41"/>
      <c r="F12" s="42"/>
      <c r="G12" s="42"/>
      <c r="H12" s="42"/>
      <c r="I12" s="42"/>
      <c r="J12" s="42"/>
      <c r="K12" s="29" t="s">
        <v>15</v>
      </c>
      <c r="N12" s="42"/>
      <c r="O12" s="42"/>
      <c r="P12" s="42"/>
      <c r="Q12" s="42"/>
      <c r="R12" s="42"/>
      <c r="S12" s="42"/>
      <c r="T12" s="42"/>
      <c r="U12" s="42"/>
    </row>
    <row r="13" spans="1:22" ht="3" customHeight="1" thickBot="1" x14ac:dyDescent="0.25"/>
    <row r="14" spans="1:22" ht="9" customHeight="1" x14ac:dyDescent="0.2">
      <c r="A14" s="57" t="s">
        <v>10</v>
      </c>
      <c r="B14" s="58"/>
      <c r="C14" s="58"/>
      <c r="D14" s="58"/>
      <c r="E14" s="58"/>
      <c r="F14" s="59"/>
      <c r="G14" s="63" t="s">
        <v>9</v>
      </c>
      <c r="H14" s="65" t="s">
        <v>21</v>
      </c>
      <c r="I14" s="66"/>
      <c r="J14" s="66"/>
      <c r="K14" s="67"/>
      <c r="L14" s="65" t="s">
        <v>20</v>
      </c>
      <c r="M14" s="71"/>
      <c r="N14" s="71"/>
      <c r="O14" s="72"/>
      <c r="P14" s="45" t="s">
        <v>22</v>
      </c>
      <c r="Q14" s="46"/>
      <c r="R14" s="47"/>
      <c r="S14" s="76" t="s">
        <v>17</v>
      </c>
      <c r="T14" s="71"/>
      <c r="U14" s="77"/>
    </row>
    <row r="15" spans="1:22" ht="5.25" customHeight="1" thickBot="1" x14ac:dyDescent="0.25">
      <c r="A15" s="60"/>
      <c r="B15" s="61"/>
      <c r="C15" s="61"/>
      <c r="D15" s="61"/>
      <c r="E15" s="61"/>
      <c r="F15" s="62"/>
      <c r="G15" s="64"/>
      <c r="H15" s="68"/>
      <c r="I15" s="69"/>
      <c r="J15" s="69"/>
      <c r="K15" s="70"/>
      <c r="L15" s="73"/>
      <c r="M15" s="74"/>
      <c r="N15" s="74"/>
      <c r="O15" s="75"/>
      <c r="P15" s="48"/>
      <c r="Q15" s="49"/>
      <c r="R15" s="50"/>
      <c r="S15" s="78"/>
      <c r="T15" s="74"/>
      <c r="U15" s="79"/>
    </row>
    <row r="16" spans="1:22" ht="11.1" customHeight="1" thickBot="1" x14ac:dyDescent="0.25">
      <c r="A16" s="27">
        <v>1</v>
      </c>
      <c r="B16" s="19"/>
      <c r="C16" s="2"/>
      <c r="D16" s="2"/>
      <c r="E16" s="2"/>
      <c r="F16" s="3"/>
      <c r="G16" s="4"/>
      <c r="H16" s="35"/>
      <c r="I16" s="36"/>
      <c r="J16" s="36"/>
      <c r="K16" s="37"/>
      <c r="L16" s="19"/>
      <c r="M16" s="5"/>
      <c r="N16" s="5"/>
      <c r="O16" s="17"/>
      <c r="P16" s="51"/>
      <c r="Q16" s="52"/>
      <c r="R16" s="53"/>
      <c r="S16" s="5"/>
      <c r="T16" s="5"/>
      <c r="U16" s="6"/>
    </row>
    <row r="17" spans="1:21" ht="11.1" customHeight="1" thickBot="1" x14ac:dyDescent="0.25">
      <c r="A17" s="28">
        <v>2</v>
      </c>
      <c r="B17" s="20"/>
      <c r="C17" s="8"/>
      <c r="D17" s="8"/>
      <c r="E17" s="8"/>
      <c r="F17" s="9"/>
      <c r="G17" s="10"/>
      <c r="H17" s="38"/>
      <c r="I17" s="39"/>
      <c r="J17" s="39"/>
      <c r="K17" s="40"/>
      <c r="L17" s="19"/>
      <c r="M17" s="12"/>
      <c r="N17" s="12"/>
      <c r="O17" s="18"/>
      <c r="P17" s="54"/>
      <c r="Q17" s="55"/>
      <c r="R17" s="56"/>
      <c r="S17" s="12"/>
      <c r="T17" s="12"/>
      <c r="U17" s="13"/>
    </row>
    <row r="18" spans="1:21" ht="11.1" customHeight="1" thickBot="1" x14ac:dyDescent="0.25">
      <c r="A18" s="28">
        <v>3</v>
      </c>
      <c r="B18" s="20"/>
      <c r="C18" s="8"/>
      <c r="D18" s="8"/>
      <c r="E18" s="8"/>
      <c r="F18" s="9"/>
      <c r="G18" s="10"/>
      <c r="H18" s="38"/>
      <c r="I18" s="39"/>
      <c r="J18" s="39"/>
      <c r="K18" s="40"/>
      <c r="L18" s="19"/>
      <c r="M18" s="12"/>
      <c r="N18" s="12"/>
      <c r="O18" s="18"/>
      <c r="P18" s="54"/>
      <c r="Q18" s="55"/>
      <c r="R18" s="56"/>
      <c r="S18" s="12"/>
      <c r="T18" s="12"/>
      <c r="U18" s="13"/>
    </row>
    <row r="19" spans="1:21" ht="11.1" customHeight="1" thickBot="1" x14ac:dyDescent="0.25">
      <c r="A19" s="28">
        <v>4</v>
      </c>
      <c r="B19" s="20"/>
      <c r="C19" s="8"/>
      <c r="D19" s="8"/>
      <c r="E19" s="8"/>
      <c r="F19" s="9"/>
      <c r="G19" s="10"/>
      <c r="H19" s="81"/>
      <c r="I19" s="82"/>
      <c r="J19" s="82"/>
      <c r="K19" s="83"/>
      <c r="L19" s="19"/>
      <c r="M19" s="12"/>
      <c r="N19" s="12"/>
      <c r="O19" s="18"/>
      <c r="P19" s="54"/>
      <c r="Q19" s="55"/>
      <c r="R19" s="56"/>
      <c r="S19" s="12"/>
      <c r="T19" s="12"/>
      <c r="U19" s="13"/>
    </row>
    <row r="20" spans="1:21" ht="11.1" customHeight="1" thickBot="1" x14ac:dyDescent="0.25">
      <c r="A20" s="28">
        <v>5</v>
      </c>
      <c r="B20" s="20"/>
      <c r="C20" s="8"/>
      <c r="D20" s="8"/>
      <c r="E20" s="8"/>
      <c r="F20" s="9"/>
      <c r="G20" s="10"/>
      <c r="H20" s="38"/>
      <c r="I20" s="39"/>
      <c r="J20" s="39"/>
      <c r="K20" s="40"/>
      <c r="L20" s="19"/>
      <c r="M20" s="12"/>
      <c r="N20" s="12"/>
      <c r="O20" s="18"/>
      <c r="P20" s="54"/>
      <c r="Q20" s="55"/>
      <c r="R20" s="56"/>
      <c r="S20" s="12"/>
      <c r="T20" s="12"/>
      <c r="U20" s="13"/>
    </row>
    <row r="21" spans="1:21" ht="11.1" customHeight="1" thickBot="1" x14ac:dyDescent="0.25">
      <c r="A21" s="28">
        <v>6</v>
      </c>
      <c r="B21" s="20"/>
      <c r="C21" s="8"/>
      <c r="D21" s="8"/>
      <c r="E21" s="8"/>
      <c r="F21" s="9"/>
      <c r="G21" s="10"/>
      <c r="H21" s="38"/>
      <c r="I21" s="39"/>
      <c r="J21" s="39"/>
      <c r="K21" s="40"/>
      <c r="L21" s="19"/>
      <c r="M21" s="12"/>
      <c r="N21" s="12"/>
      <c r="O21" s="18"/>
      <c r="P21" s="54"/>
      <c r="Q21" s="55"/>
      <c r="R21" s="56"/>
      <c r="S21" s="12"/>
      <c r="T21" s="12"/>
      <c r="U21" s="13"/>
    </row>
    <row r="22" spans="1:21" ht="11.1" customHeight="1" thickBot="1" x14ac:dyDescent="0.25">
      <c r="A22" s="28">
        <v>7</v>
      </c>
      <c r="B22" s="20"/>
      <c r="C22" s="8"/>
      <c r="D22" s="8"/>
      <c r="E22" s="8"/>
      <c r="F22" s="9"/>
      <c r="G22" s="10"/>
      <c r="H22" s="38"/>
      <c r="I22" s="39"/>
      <c r="J22" s="39"/>
      <c r="K22" s="40"/>
      <c r="L22" s="19"/>
      <c r="M22" s="12"/>
      <c r="N22" s="12"/>
      <c r="O22" s="18"/>
      <c r="P22" s="54"/>
      <c r="Q22" s="55"/>
      <c r="R22" s="56"/>
      <c r="S22" s="12"/>
      <c r="T22" s="12"/>
      <c r="U22" s="13"/>
    </row>
    <row r="23" spans="1:21" ht="11.1" customHeight="1" thickBot="1" x14ac:dyDescent="0.25">
      <c r="A23" s="28">
        <v>8</v>
      </c>
      <c r="B23" s="20"/>
      <c r="C23" s="8"/>
      <c r="D23" s="8"/>
      <c r="E23" s="8"/>
      <c r="F23" s="9"/>
      <c r="G23" s="10"/>
      <c r="H23" s="38"/>
      <c r="I23" s="39"/>
      <c r="J23" s="39"/>
      <c r="K23" s="40"/>
      <c r="L23" s="19"/>
      <c r="M23" s="12"/>
      <c r="N23" s="12"/>
      <c r="O23" s="18"/>
      <c r="P23" s="54"/>
      <c r="Q23" s="55"/>
      <c r="R23" s="56"/>
      <c r="S23" s="12"/>
      <c r="T23" s="12"/>
      <c r="U23" s="13"/>
    </row>
    <row r="24" spans="1:21" ht="11.1" customHeight="1" thickBot="1" x14ac:dyDescent="0.25">
      <c r="A24" s="28">
        <v>9</v>
      </c>
      <c r="B24" s="20"/>
      <c r="C24" s="8"/>
      <c r="D24" s="8"/>
      <c r="E24" s="8"/>
      <c r="F24" s="9"/>
      <c r="G24" s="10"/>
      <c r="H24" s="38"/>
      <c r="I24" s="39"/>
      <c r="J24" s="39"/>
      <c r="K24" s="40"/>
      <c r="L24" s="19"/>
      <c r="M24" s="12"/>
      <c r="N24" s="12"/>
      <c r="O24" s="18"/>
      <c r="P24" s="54"/>
      <c r="Q24" s="55"/>
      <c r="R24" s="56"/>
      <c r="S24" s="12"/>
      <c r="T24" s="12"/>
      <c r="U24" s="13"/>
    </row>
    <row r="25" spans="1:21" ht="11.1" customHeight="1" thickBot="1" x14ac:dyDescent="0.25">
      <c r="A25" s="28">
        <v>10</v>
      </c>
      <c r="B25" s="20"/>
      <c r="C25" s="8"/>
      <c r="D25" s="8"/>
      <c r="E25" s="8"/>
      <c r="F25" s="9"/>
      <c r="G25" s="10"/>
      <c r="H25" s="38"/>
      <c r="I25" s="39"/>
      <c r="J25" s="39"/>
      <c r="K25" s="40"/>
      <c r="L25" s="19"/>
      <c r="M25" s="12"/>
      <c r="N25" s="12"/>
      <c r="O25" s="18"/>
      <c r="P25" s="54"/>
      <c r="Q25" s="55"/>
      <c r="R25" s="56"/>
      <c r="S25" s="12"/>
      <c r="T25" s="12"/>
      <c r="U25" s="13"/>
    </row>
    <row r="26" spans="1:21" ht="11.1" customHeight="1" thickBot="1" x14ac:dyDescent="0.25">
      <c r="A26" s="28">
        <v>11</v>
      </c>
      <c r="B26" s="20"/>
      <c r="C26" s="8"/>
      <c r="D26" s="8"/>
      <c r="E26" s="8"/>
      <c r="F26" s="9"/>
      <c r="G26" s="10"/>
      <c r="H26" s="38"/>
      <c r="I26" s="39"/>
      <c r="J26" s="39"/>
      <c r="K26" s="40"/>
      <c r="L26" s="19"/>
      <c r="M26" s="12"/>
      <c r="N26" s="12"/>
      <c r="O26" s="18"/>
      <c r="P26" s="54"/>
      <c r="Q26" s="55"/>
      <c r="R26" s="56"/>
      <c r="S26" s="12"/>
      <c r="T26" s="12"/>
      <c r="U26" s="13"/>
    </row>
    <row r="27" spans="1:21" ht="11.1" customHeight="1" thickBot="1" x14ac:dyDescent="0.25">
      <c r="A27" s="28">
        <v>12</v>
      </c>
      <c r="B27" s="20"/>
      <c r="C27" s="8"/>
      <c r="D27" s="8"/>
      <c r="E27" s="8"/>
      <c r="F27" s="9"/>
      <c r="G27" s="10"/>
      <c r="H27" s="38"/>
      <c r="I27" s="39"/>
      <c r="J27" s="39"/>
      <c r="K27" s="40"/>
      <c r="L27" s="19"/>
      <c r="M27" s="12"/>
      <c r="N27" s="12"/>
      <c r="O27" s="18"/>
      <c r="P27" s="54"/>
      <c r="Q27" s="55"/>
      <c r="R27" s="56"/>
      <c r="S27" s="12"/>
      <c r="T27" s="12"/>
      <c r="U27" s="13"/>
    </row>
    <row r="28" spans="1:21" ht="11.1" customHeight="1" thickBot="1" x14ac:dyDescent="0.25">
      <c r="A28" s="27">
        <v>13</v>
      </c>
      <c r="B28" s="20"/>
      <c r="C28" s="8"/>
      <c r="D28" s="8"/>
      <c r="E28" s="8"/>
      <c r="F28" s="9"/>
      <c r="G28" s="10"/>
      <c r="H28" s="38"/>
      <c r="I28" s="39"/>
      <c r="J28" s="39"/>
      <c r="K28" s="40"/>
      <c r="L28" s="19"/>
      <c r="M28" s="12"/>
      <c r="N28" s="12"/>
      <c r="O28" s="18"/>
      <c r="P28" s="54"/>
      <c r="Q28" s="55"/>
      <c r="R28" s="56"/>
      <c r="S28" s="12"/>
      <c r="T28" s="12"/>
      <c r="U28" s="13"/>
    </row>
    <row r="29" spans="1:21" ht="11.1" customHeight="1" thickBot="1" x14ac:dyDescent="0.25">
      <c r="A29" s="27">
        <v>14</v>
      </c>
      <c r="B29" s="20"/>
      <c r="C29" s="8"/>
      <c r="D29" s="8"/>
      <c r="E29" s="8"/>
      <c r="F29" s="9"/>
      <c r="G29" s="10"/>
      <c r="H29" s="38"/>
      <c r="I29" s="39"/>
      <c r="J29" s="39"/>
      <c r="K29" s="40"/>
      <c r="L29" s="19"/>
      <c r="M29" s="12"/>
      <c r="N29" s="12"/>
      <c r="O29" s="18"/>
      <c r="P29" s="54"/>
      <c r="Q29" s="55"/>
      <c r="R29" s="56"/>
      <c r="S29" s="12"/>
      <c r="T29" s="12"/>
      <c r="U29" s="13"/>
    </row>
    <row r="30" spans="1:21" ht="11.1" customHeight="1" thickBot="1" x14ac:dyDescent="0.25">
      <c r="A30" s="27">
        <v>15</v>
      </c>
      <c r="B30" s="20"/>
      <c r="C30" s="8"/>
      <c r="D30" s="8"/>
      <c r="E30" s="8"/>
      <c r="F30" s="9"/>
      <c r="G30" s="10"/>
      <c r="H30" s="38"/>
      <c r="I30" s="39"/>
      <c r="J30" s="39"/>
      <c r="K30" s="40"/>
      <c r="L30" s="19"/>
      <c r="M30" s="12"/>
      <c r="N30" s="12"/>
      <c r="O30" s="18"/>
      <c r="P30" s="54"/>
      <c r="Q30" s="55"/>
      <c r="R30" s="56"/>
      <c r="S30" s="12"/>
      <c r="T30" s="12"/>
      <c r="U30" s="13"/>
    </row>
    <row r="31" spans="1:21" ht="11.1" customHeight="1" thickBot="1" x14ac:dyDescent="0.25">
      <c r="A31" s="27">
        <v>16</v>
      </c>
      <c r="B31" s="20"/>
      <c r="C31" s="23"/>
      <c r="D31" s="8"/>
      <c r="E31" s="8"/>
      <c r="F31" s="9"/>
      <c r="G31" s="10"/>
      <c r="H31" s="38"/>
      <c r="I31" s="39"/>
      <c r="J31" s="39"/>
      <c r="K31" s="40"/>
      <c r="L31" s="19"/>
      <c r="M31" s="12"/>
      <c r="N31" s="12"/>
      <c r="O31" s="18"/>
      <c r="P31" s="54"/>
      <c r="Q31" s="55"/>
      <c r="R31" s="56"/>
      <c r="S31" s="12"/>
      <c r="T31" s="12"/>
      <c r="U31" s="13"/>
    </row>
    <row r="32" spans="1:21" ht="11.1" customHeight="1" thickBot="1" x14ac:dyDescent="0.25">
      <c r="A32" s="27">
        <v>17</v>
      </c>
      <c r="B32" s="20"/>
      <c r="C32" s="8"/>
      <c r="D32" s="8"/>
      <c r="E32" s="8"/>
      <c r="F32" s="9"/>
      <c r="G32" s="10"/>
      <c r="H32" s="38"/>
      <c r="I32" s="39"/>
      <c r="J32" s="39"/>
      <c r="K32" s="40"/>
      <c r="L32" s="19"/>
      <c r="M32" s="12"/>
      <c r="N32" s="12"/>
      <c r="O32" s="18"/>
      <c r="P32" s="54"/>
      <c r="Q32" s="55"/>
      <c r="R32" s="56"/>
      <c r="S32" s="12"/>
      <c r="T32" s="12"/>
      <c r="U32" s="13"/>
    </row>
    <row r="33" spans="1:21" ht="11.1" customHeight="1" thickBot="1" x14ac:dyDescent="0.25">
      <c r="A33" s="27">
        <v>18</v>
      </c>
      <c r="B33" s="20"/>
      <c r="C33" s="8"/>
      <c r="D33" s="8"/>
      <c r="E33" s="8"/>
      <c r="F33" s="9"/>
      <c r="G33" s="10"/>
      <c r="H33" s="86"/>
      <c r="I33" s="87"/>
      <c r="J33" s="87"/>
      <c r="K33" s="88"/>
      <c r="L33" s="19"/>
      <c r="M33" s="12"/>
      <c r="N33" s="12"/>
      <c r="O33" s="18"/>
      <c r="P33" s="54"/>
      <c r="Q33" s="55"/>
      <c r="R33" s="56"/>
      <c r="S33" s="12"/>
      <c r="T33" s="12"/>
      <c r="U33" s="13"/>
    </row>
    <row r="34" spans="1:21" ht="11.1" customHeight="1" thickBot="1" x14ac:dyDescent="0.25">
      <c r="A34" s="27">
        <v>19</v>
      </c>
      <c r="B34" s="20"/>
      <c r="C34" s="8"/>
      <c r="D34" s="8"/>
      <c r="E34" s="8"/>
      <c r="F34" s="9"/>
      <c r="G34" s="10"/>
      <c r="H34" s="86"/>
      <c r="I34" s="87"/>
      <c r="J34" s="87"/>
      <c r="K34" s="88"/>
      <c r="L34" s="19"/>
      <c r="M34" s="12"/>
      <c r="N34" s="12"/>
      <c r="O34" s="18"/>
      <c r="P34" s="54"/>
      <c r="Q34" s="55"/>
      <c r="R34" s="56"/>
      <c r="S34" s="12"/>
      <c r="T34" s="12"/>
      <c r="U34" s="13"/>
    </row>
    <row r="35" spans="1:21" ht="11.1" customHeight="1" thickBot="1" x14ac:dyDescent="0.25">
      <c r="A35" s="27">
        <v>20</v>
      </c>
      <c r="B35" s="20"/>
      <c r="C35" s="8"/>
      <c r="D35" s="8"/>
      <c r="E35" s="8"/>
      <c r="F35" s="9"/>
      <c r="G35" s="10"/>
      <c r="H35" s="38"/>
      <c r="I35" s="39"/>
      <c r="J35" s="39"/>
      <c r="K35" s="40"/>
      <c r="L35" s="19"/>
      <c r="M35" s="12"/>
      <c r="N35" s="12"/>
      <c r="O35" s="18"/>
      <c r="P35" s="54"/>
      <c r="Q35" s="55"/>
      <c r="R35" s="56"/>
      <c r="S35" s="12"/>
      <c r="T35" s="12"/>
      <c r="U35" s="13"/>
    </row>
    <row r="36" spans="1:21" ht="11.1" customHeight="1" thickBot="1" x14ac:dyDescent="0.25">
      <c r="A36" s="27">
        <v>21</v>
      </c>
      <c r="B36" s="20"/>
      <c r="C36" s="8"/>
      <c r="D36" s="8"/>
      <c r="E36" s="8"/>
      <c r="F36" s="9"/>
      <c r="G36" s="10"/>
      <c r="H36" s="38"/>
      <c r="I36" s="39"/>
      <c r="J36" s="39"/>
      <c r="K36" s="40"/>
      <c r="L36" s="19"/>
      <c r="M36" s="12"/>
      <c r="N36" s="12"/>
      <c r="O36" s="18"/>
      <c r="P36" s="54"/>
      <c r="Q36" s="55"/>
      <c r="R36" s="56"/>
      <c r="S36" s="12"/>
      <c r="T36" s="12"/>
      <c r="U36" s="13"/>
    </row>
    <row r="37" spans="1:21" ht="11.1" customHeight="1" thickBot="1" x14ac:dyDescent="0.25">
      <c r="A37" s="27">
        <v>22</v>
      </c>
      <c r="B37" s="20"/>
      <c r="C37" s="8"/>
      <c r="D37" s="8"/>
      <c r="E37" s="8"/>
      <c r="F37" s="9"/>
      <c r="G37" s="10"/>
      <c r="H37" s="38"/>
      <c r="I37" s="39"/>
      <c r="J37" s="39"/>
      <c r="K37" s="40"/>
      <c r="L37" s="19"/>
      <c r="M37" s="12"/>
      <c r="N37" s="12"/>
      <c r="O37" s="18"/>
      <c r="P37" s="54"/>
      <c r="Q37" s="55"/>
      <c r="R37" s="56"/>
      <c r="S37" s="12"/>
      <c r="T37" s="12"/>
      <c r="U37" s="13"/>
    </row>
    <row r="38" spans="1:21" ht="11.1" customHeight="1" thickBot="1" x14ac:dyDescent="0.25">
      <c r="A38" s="27">
        <v>23</v>
      </c>
      <c r="B38" s="20"/>
      <c r="C38" s="8"/>
      <c r="D38" s="8"/>
      <c r="E38" s="8"/>
      <c r="F38" s="9"/>
      <c r="G38" s="10"/>
      <c r="H38" s="38"/>
      <c r="I38" s="39"/>
      <c r="J38" s="39"/>
      <c r="K38" s="40"/>
      <c r="L38" s="19"/>
      <c r="M38" s="12"/>
      <c r="N38" s="12"/>
      <c r="O38" s="18"/>
      <c r="P38" s="54"/>
      <c r="Q38" s="55"/>
      <c r="R38" s="56"/>
      <c r="S38" s="12"/>
      <c r="T38" s="12"/>
      <c r="U38" s="13"/>
    </row>
    <row r="39" spans="1:21" ht="11.1" customHeight="1" x14ac:dyDescent="0.2">
      <c r="A39" s="27">
        <v>24</v>
      </c>
      <c r="B39" s="20"/>
      <c r="C39" s="8"/>
      <c r="D39" s="8"/>
      <c r="E39" s="8"/>
      <c r="F39" s="9"/>
      <c r="G39" s="10"/>
      <c r="H39" s="38"/>
      <c r="I39" s="39"/>
      <c r="J39" s="39"/>
      <c r="K39" s="40"/>
      <c r="L39" s="19"/>
      <c r="M39" s="12"/>
      <c r="N39" s="12"/>
      <c r="O39" s="18"/>
      <c r="P39" s="54"/>
      <c r="Q39" s="55"/>
      <c r="R39" s="56"/>
      <c r="S39" s="12"/>
      <c r="T39" s="12"/>
      <c r="U39" s="13"/>
    </row>
    <row r="40" spans="1:21" ht="11.1" customHeight="1" x14ac:dyDescent="0.2">
      <c r="A40" s="27">
        <v>25</v>
      </c>
      <c r="B40" s="20"/>
      <c r="C40" s="8"/>
      <c r="D40" s="8"/>
      <c r="E40" s="8"/>
      <c r="F40" s="9"/>
      <c r="G40" s="10"/>
      <c r="H40" s="11"/>
      <c r="I40" s="12"/>
      <c r="J40" s="12"/>
      <c r="K40" s="13"/>
      <c r="L40" s="7"/>
      <c r="M40" s="12"/>
      <c r="N40" s="12"/>
      <c r="O40" s="18"/>
      <c r="P40" s="54"/>
      <c r="Q40" s="55"/>
      <c r="R40" s="56"/>
      <c r="S40" s="12"/>
      <c r="T40" s="12"/>
      <c r="U40" s="13"/>
    </row>
    <row r="41" spans="1:21" ht="11.1" customHeight="1" x14ac:dyDescent="0.2">
      <c r="A41" s="27">
        <v>26</v>
      </c>
      <c r="B41" s="20"/>
      <c r="C41" s="8"/>
      <c r="D41" s="8"/>
      <c r="E41" s="8"/>
      <c r="F41" s="9"/>
      <c r="G41" s="10"/>
      <c r="H41" s="11"/>
      <c r="I41" s="12"/>
      <c r="J41" s="12"/>
      <c r="K41" s="13"/>
      <c r="L41" s="7"/>
      <c r="M41" s="12"/>
      <c r="N41" s="12"/>
      <c r="O41" s="18"/>
      <c r="P41" s="54"/>
      <c r="Q41" s="55"/>
      <c r="R41" s="56"/>
      <c r="S41" s="12"/>
      <c r="T41" s="12"/>
      <c r="U41" s="13"/>
    </row>
    <row r="42" spans="1:21" ht="11.1" customHeight="1" x14ac:dyDescent="0.2">
      <c r="A42" s="27">
        <v>27</v>
      </c>
      <c r="B42" s="20"/>
      <c r="C42" s="8"/>
      <c r="D42" s="8"/>
      <c r="E42" s="8"/>
      <c r="F42" s="9"/>
      <c r="G42" s="10"/>
      <c r="H42" s="11"/>
      <c r="I42" s="12"/>
      <c r="J42" s="12"/>
      <c r="K42" s="13"/>
      <c r="L42" s="7"/>
      <c r="M42" s="12"/>
      <c r="N42" s="12"/>
      <c r="O42" s="18"/>
      <c r="P42" s="54"/>
      <c r="Q42" s="55"/>
      <c r="R42" s="56"/>
      <c r="S42" s="12"/>
      <c r="T42" s="12"/>
      <c r="U42" s="13"/>
    </row>
    <row r="43" spans="1:21" ht="11.1" customHeight="1" x14ac:dyDescent="0.2">
      <c r="A43" s="27">
        <v>28</v>
      </c>
      <c r="B43" s="20"/>
      <c r="C43" s="8"/>
      <c r="D43" s="8"/>
      <c r="E43" s="8"/>
      <c r="F43" s="9"/>
      <c r="G43" s="10"/>
      <c r="H43" s="11"/>
      <c r="I43" s="12"/>
      <c r="J43" s="12"/>
      <c r="K43" s="13"/>
      <c r="L43" s="7"/>
      <c r="M43" s="12"/>
      <c r="N43" s="12"/>
      <c r="O43" s="18"/>
      <c r="P43" s="54"/>
      <c r="Q43" s="55"/>
      <c r="R43" s="56"/>
      <c r="S43" s="12"/>
      <c r="T43" s="12"/>
      <c r="U43" s="13"/>
    </row>
    <row r="44" spans="1:21" ht="11.1" customHeight="1" x14ac:dyDescent="0.2">
      <c r="A44" s="27">
        <v>29</v>
      </c>
      <c r="B44" s="20"/>
      <c r="C44" s="8"/>
      <c r="D44" s="8"/>
      <c r="E44" s="8"/>
      <c r="F44" s="9"/>
      <c r="G44" s="10"/>
      <c r="H44" s="11"/>
      <c r="I44" s="12"/>
      <c r="J44" s="12"/>
      <c r="K44" s="13"/>
      <c r="L44" s="7"/>
      <c r="M44" s="12"/>
      <c r="N44" s="12"/>
      <c r="O44" s="18"/>
      <c r="P44" s="54"/>
      <c r="Q44" s="55"/>
      <c r="R44" s="56"/>
      <c r="S44" s="12"/>
      <c r="T44" s="12"/>
      <c r="U44" s="13"/>
    </row>
    <row r="45" spans="1:21" ht="11.1" customHeight="1" x14ac:dyDescent="0.2">
      <c r="A45" s="27">
        <v>30</v>
      </c>
      <c r="B45" s="20"/>
      <c r="C45" s="8"/>
      <c r="D45" s="8"/>
      <c r="E45" s="8"/>
      <c r="F45" s="9"/>
      <c r="G45" s="10"/>
      <c r="H45" s="11"/>
      <c r="I45" s="12"/>
      <c r="J45" s="12"/>
      <c r="K45" s="13"/>
      <c r="L45" s="7"/>
      <c r="M45" s="12"/>
      <c r="N45" s="12"/>
      <c r="O45" s="18"/>
      <c r="P45" s="54"/>
      <c r="Q45" s="55"/>
      <c r="R45" s="56"/>
      <c r="S45" s="12"/>
      <c r="T45" s="12"/>
      <c r="U45" s="13"/>
    </row>
    <row r="46" spans="1:21" ht="11.1" customHeight="1" x14ac:dyDescent="0.2">
      <c r="A46" s="27">
        <v>31</v>
      </c>
      <c r="B46" s="20"/>
      <c r="C46" s="8"/>
      <c r="D46" s="8"/>
      <c r="E46" s="8"/>
      <c r="F46" s="9"/>
      <c r="G46" s="10"/>
      <c r="H46" s="11"/>
      <c r="I46" s="12"/>
      <c r="J46" s="12"/>
      <c r="K46" s="13"/>
      <c r="L46" s="7"/>
      <c r="M46" s="12"/>
      <c r="N46" s="12"/>
      <c r="O46" s="18"/>
      <c r="P46" s="24"/>
      <c r="Q46" s="25"/>
      <c r="R46" s="26"/>
      <c r="S46" s="12"/>
      <c r="T46" s="12"/>
      <c r="U46" s="13"/>
    </row>
    <row r="47" spans="1:21" ht="11.1" customHeight="1" x14ac:dyDescent="0.2">
      <c r="A47" s="27">
        <v>32</v>
      </c>
      <c r="B47" s="20"/>
      <c r="C47" s="8"/>
      <c r="D47" s="8"/>
      <c r="E47" s="8"/>
      <c r="F47" s="9"/>
      <c r="G47" s="10"/>
      <c r="H47" s="11"/>
      <c r="I47" s="12"/>
      <c r="J47" s="12"/>
      <c r="K47" s="13"/>
      <c r="L47" s="7"/>
      <c r="M47" s="12"/>
      <c r="N47" s="12"/>
      <c r="O47" s="18"/>
      <c r="P47" s="24"/>
      <c r="Q47" s="25"/>
      <c r="R47" s="26"/>
      <c r="S47" s="12"/>
      <c r="T47" s="12"/>
      <c r="U47" s="13"/>
    </row>
    <row r="48" spans="1:21" ht="11.1" customHeight="1" x14ac:dyDescent="0.2">
      <c r="A48" s="27">
        <v>33</v>
      </c>
      <c r="B48" s="20"/>
      <c r="C48" s="8"/>
      <c r="D48" s="8"/>
      <c r="E48" s="8"/>
      <c r="F48" s="9"/>
      <c r="G48" s="10"/>
      <c r="H48" s="11"/>
      <c r="I48" s="12"/>
      <c r="J48" s="12"/>
      <c r="K48" s="13"/>
      <c r="L48" s="7"/>
      <c r="M48" s="12"/>
      <c r="N48" s="12"/>
      <c r="O48" s="18"/>
      <c r="P48" s="24"/>
      <c r="Q48" s="25"/>
      <c r="R48" s="26"/>
      <c r="S48" s="12"/>
      <c r="T48" s="12"/>
      <c r="U48" s="13"/>
    </row>
    <row r="49" spans="1:23" ht="11.1" customHeight="1" x14ac:dyDescent="0.2">
      <c r="A49" s="27">
        <v>34</v>
      </c>
      <c r="B49" s="20"/>
      <c r="C49" s="8"/>
      <c r="D49" s="8"/>
      <c r="E49" s="8"/>
      <c r="F49" s="9"/>
      <c r="G49" s="10"/>
      <c r="H49" s="11"/>
      <c r="I49" s="12"/>
      <c r="J49" s="12"/>
      <c r="K49" s="13"/>
      <c r="L49" s="7"/>
      <c r="M49" s="12"/>
      <c r="N49" s="12"/>
      <c r="O49" s="18"/>
      <c r="P49" s="24"/>
      <c r="Q49" s="25"/>
      <c r="R49" s="26"/>
      <c r="S49" s="12"/>
      <c r="T49" s="12"/>
      <c r="U49" s="13"/>
    </row>
    <row r="50" spans="1:23" ht="11.1" customHeight="1" x14ac:dyDescent="0.2">
      <c r="A50" s="27">
        <v>35</v>
      </c>
      <c r="B50" s="20"/>
      <c r="C50" s="8"/>
      <c r="D50" s="8"/>
      <c r="E50" s="8"/>
      <c r="F50" s="9"/>
      <c r="G50" s="10"/>
      <c r="H50" s="11"/>
      <c r="I50" s="12"/>
      <c r="J50" s="12"/>
      <c r="K50" s="13"/>
      <c r="L50" s="7"/>
      <c r="M50" s="12"/>
      <c r="N50" s="12"/>
      <c r="O50" s="18"/>
      <c r="P50" s="54"/>
      <c r="Q50" s="55"/>
      <c r="R50" s="56"/>
      <c r="S50" s="12"/>
      <c r="T50" s="12"/>
      <c r="U50" s="13"/>
    </row>
    <row r="51" spans="1:23" x14ac:dyDescent="0.2">
      <c r="A51" s="93" t="s">
        <v>23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0"/>
      <c r="W51" s="90"/>
    </row>
    <row r="52" spans="1:23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0"/>
      <c r="W52" s="90"/>
    </row>
    <row r="53" spans="1:23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0"/>
      <c r="W53" s="90"/>
    </row>
    <row r="54" spans="1:23" ht="12.75" customHeight="1" x14ac:dyDescent="0.2">
      <c r="A54" s="93" t="s">
        <v>24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14"/>
      <c r="W54" s="14"/>
    </row>
    <row r="55" spans="1:23" ht="4.5" customHeight="1" x14ac:dyDescent="0.2">
      <c r="G55" s="16"/>
      <c r="H55" s="22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3" ht="13.5" thickBot="1" x14ac:dyDescent="0.25">
      <c r="A56" s="80"/>
      <c r="B56" s="80"/>
      <c r="C56" s="80"/>
      <c r="D56" s="80"/>
      <c r="E56" s="80"/>
      <c r="F56" s="14"/>
      <c r="G56" s="80"/>
      <c r="H56" s="80"/>
      <c r="I56" s="80"/>
      <c r="J56" s="80"/>
      <c r="K56" s="80"/>
      <c r="M56" s="80"/>
      <c r="N56" s="80"/>
      <c r="O56" s="80"/>
      <c r="P56" s="80"/>
      <c r="Q56" s="80"/>
      <c r="R56" s="80"/>
      <c r="S56" s="80"/>
      <c r="T56" s="80"/>
      <c r="U56" s="80"/>
    </row>
    <row r="57" spans="1:23" x14ac:dyDescent="0.2">
      <c r="A57" s="1" t="s">
        <v>12</v>
      </c>
      <c r="G57" s="1" t="s">
        <v>13</v>
      </c>
      <c r="L57" s="15"/>
      <c r="M57" s="1" t="s">
        <v>16</v>
      </c>
    </row>
    <row r="58" spans="1:23" ht="1.5" customHeight="1" x14ac:dyDescent="0.2"/>
  </sheetData>
  <mergeCells count="80">
    <mergeCell ref="P42:R42"/>
    <mergeCell ref="P38:R38"/>
    <mergeCell ref="A54:U54"/>
    <mergeCell ref="A51:W53"/>
    <mergeCell ref="P45:R45"/>
    <mergeCell ref="P50:R50"/>
    <mergeCell ref="P43:R43"/>
    <mergeCell ref="P44:R44"/>
    <mergeCell ref="D1:R1"/>
    <mergeCell ref="D2:R3"/>
    <mergeCell ref="P39:R39"/>
    <mergeCell ref="P40:R40"/>
    <mergeCell ref="P41:R41"/>
    <mergeCell ref="P30:R30"/>
    <mergeCell ref="P31:R31"/>
    <mergeCell ref="P32:R32"/>
    <mergeCell ref="P33:R33"/>
    <mergeCell ref="P34:R34"/>
    <mergeCell ref="P35:R35"/>
    <mergeCell ref="P36:R36"/>
    <mergeCell ref="P37:R37"/>
    <mergeCell ref="P24:R24"/>
    <mergeCell ref="P25:R25"/>
    <mergeCell ref="P26:R26"/>
    <mergeCell ref="P27:R27"/>
    <mergeCell ref="P28:R28"/>
    <mergeCell ref="P29:R29"/>
    <mergeCell ref="P18:R18"/>
    <mergeCell ref="P19:R19"/>
    <mergeCell ref="P20:R20"/>
    <mergeCell ref="P21:R21"/>
    <mergeCell ref="P22:R22"/>
    <mergeCell ref="P23:R23"/>
    <mergeCell ref="H35:K35"/>
    <mergeCell ref="H36:K36"/>
    <mergeCell ref="H37:K37"/>
    <mergeCell ref="H38:K38"/>
    <mergeCell ref="H39:K39"/>
    <mergeCell ref="H29:K29"/>
    <mergeCell ref="H30:K30"/>
    <mergeCell ref="H31:K31"/>
    <mergeCell ref="H32:K32"/>
    <mergeCell ref="H33:K33"/>
    <mergeCell ref="H20:K20"/>
    <mergeCell ref="H21:K21"/>
    <mergeCell ref="H22:K22"/>
    <mergeCell ref="H23:K23"/>
    <mergeCell ref="H34:K34"/>
    <mergeCell ref="H24:K24"/>
    <mergeCell ref="H25:K25"/>
    <mergeCell ref="H26:K26"/>
    <mergeCell ref="H27:K27"/>
    <mergeCell ref="H28:K28"/>
    <mergeCell ref="S4:U4"/>
    <mergeCell ref="D6:F6"/>
    <mergeCell ref="E12:J12"/>
    <mergeCell ref="H4:L4"/>
    <mergeCell ref="C10:I10"/>
    <mergeCell ref="L10:S10"/>
    <mergeCell ref="C8:H8"/>
    <mergeCell ref="A14:F15"/>
    <mergeCell ref="G14:G15"/>
    <mergeCell ref="H14:K15"/>
    <mergeCell ref="L14:O15"/>
    <mergeCell ref="S14:U15"/>
    <mergeCell ref="A56:E56"/>
    <mergeCell ref="M56:U56"/>
    <mergeCell ref="G56:K56"/>
    <mergeCell ref="H18:K18"/>
    <mergeCell ref="H19:K19"/>
    <mergeCell ref="H16:K16"/>
    <mergeCell ref="H17:K17"/>
    <mergeCell ref="J8:K8"/>
    <mergeCell ref="M8:N8"/>
    <mergeCell ref="M6:V6"/>
    <mergeCell ref="N12:U12"/>
    <mergeCell ref="S8:U8"/>
    <mergeCell ref="P14:R15"/>
    <mergeCell ref="P16:R16"/>
    <mergeCell ref="P17:R17"/>
  </mergeCells>
  <phoneticPr fontId="1" type="noConversion"/>
  <printOptions gridLines="1"/>
  <pageMargins left="0.25" right="0.25" top="0.25" bottom="0" header="0.5" footer="0.5"/>
  <pageSetup orientation="landscape" horizontalDpi="4294967293" verticalDpi="300" r:id="rId1"/>
  <headerFooter alignWithMargins="0"/>
  <customProperties>
    <customPr name="DVSECTION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9"/>
  <sheetViews>
    <sheetView workbookViewId="0">
      <selection activeCell="AE9" sqref="AE9"/>
    </sheetView>
  </sheetViews>
  <sheetFormatPr defaultRowHeight="12.75" x14ac:dyDescent="0.2"/>
  <sheetData>
    <row r="1" spans="1:256" x14ac:dyDescent="0.2">
      <c r="A1" t="e">
        <f>IF('7th Grade Roster'!#REF!,"AAAAAHdvzwA=",0)</f>
        <v>#REF!</v>
      </c>
      <c r="B1" t="e">
        <f>AND('7th Grade Roster'!#REF!,"AAAAAHdvzwE=")</f>
        <v>#REF!</v>
      </c>
      <c r="C1" t="e">
        <f>AND('7th Grade Roster'!#REF!,"AAAAAHdvzwI=")</f>
        <v>#REF!</v>
      </c>
      <c r="D1" t="e">
        <f>AND('7th Grade Roster'!#REF!,"AAAAAHdvzwM=")</f>
        <v>#REF!</v>
      </c>
      <c r="E1" t="e">
        <f>AND('7th Grade Roster'!#REF!,"AAAAAHdvzwQ=")</f>
        <v>#REF!</v>
      </c>
      <c r="F1" t="e">
        <f>AND('7th Grade Roster'!#REF!,"AAAAAHdvzwU=")</f>
        <v>#REF!</v>
      </c>
      <c r="G1" t="e">
        <f>AND('7th Grade Roster'!#REF!,"AAAAAHdvzwY=")</f>
        <v>#REF!</v>
      </c>
      <c r="H1" t="e">
        <f>AND('7th Grade Roster'!#REF!,"AAAAAHdvzwc=")</f>
        <v>#REF!</v>
      </c>
      <c r="I1" t="e">
        <f>AND('7th Grade Roster'!#REF!,"AAAAAHdvzwg=")</f>
        <v>#REF!</v>
      </c>
      <c r="J1" t="e">
        <f>AND('7th Grade Roster'!#REF!,"AAAAAHdvzwk=")</f>
        <v>#REF!</v>
      </c>
      <c r="K1" t="e">
        <f>AND('7th Grade Roster'!#REF!,"AAAAAHdvzwo=")</f>
        <v>#REF!</v>
      </c>
      <c r="L1" t="e">
        <f>AND('7th Grade Roster'!#REF!,"AAAAAHdvzws=")</f>
        <v>#REF!</v>
      </c>
      <c r="M1" t="e">
        <f>AND('7th Grade Roster'!#REF!,"AAAAAHdvzww=")</f>
        <v>#REF!</v>
      </c>
      <c r="N1" t="e">
        <f>AND('7th Grade Roster'!#REF!,"AAAAAHdvzw0=")</f>
        <v>#REF!</v>
      </c>
      <c r="O1" t="e">
        <f>AND('7th Grade Roster'!#REF!,"AAAAAHdvzw4=")</f>
        <v>#REF!</v>
      </c>
      <c r="P1" t="e">
        <f>AND('7th Grade Roster'!#REF!,"AAAAAHdvzw8=")</f>
        <v>#REF!</v>
      </c>
      <c r="Q1" t="e">
        <f>AND('7th Grade Roster'!#REF!,"AAAAAHdvzxA=")</f>
        <v>#REF!</v>
      </c>
      <c r="R1" t="e">
        <f>AND('7th Grade Roster'!#REF!,"AAAAAHdvzxE=")</f>
        <v>#REF!</v>
      </c>
      <c r="S1" t="e">
        <f>AND('7th Grade Roster'!#REF!,"AAAAAHdvzxI=")</f>
        <v>#REF!</v>
      </c>
      <c r="T1" t="e">
        <f>AND('7th Grade Roster'!#REF!,"AAAAAHdvzxM=")</f>
        <v>#REF!</v>
      </c>
      <c r="U1" t="e">
        <f>IF('7th Grade Roster'!#REF!,"AAAAAHdvzxQ=",0)</f>
        <v>#REF!</v>
      </c>
      <c r="V1" t="e">
        <f>AND('7th Grade Roster'!#REF!,"AAAAAHdvzxU=")</f>
        <v>#REF!</v>
      </c>
      <c r="W1" t="e">
        <f>AND('7th Grade Roster'!#REF!,"AAAAAHdvzxY=")</f>
        <v>#REF!</v>
      </c>
      <c r="X1" t="e">
        <f>AND('7th Grade Roster'!#REF!,"AAAAAHdvzxc=")</f>
        <v>#REF!</v>
      </c>
      <c r="Y1" t="e">
        <f>AND('7th Grade Roster'!#REF!,"AAAAAHdvzxg=")</f>
        <v>#REF!</v>
      </c>
      <c r="Z1" t="e">
        <f>AND('7th Grade Roster'!#REF!,"AAAAAHdvzxk=")</f>
        <v>#REF!</v>
      </c>
      <c r="AA1" t="e">
        <f>AND('7th Grade Roster'!#REF!,"AAAAAHdvzxo=")</f>
        <v>#REF!</v>
      </c>
      <c r="AB1" t="e">
        <f>AND('7th Grade Roster'!#REF!,"AAAAAHdvzxs=")</f>
        <v>#REF!</v>
      </c>
      <c r="AC1" t="e">
        <f>AND('7th Grade Roster'!#REF!,"AAAAAHdvzxw=")</f>
        <v>#REF!</v>
      </c>
      <c r="AD1" t="e">
        <f>AND('7th Grade Roster'!#REF!,"AAAAAHdvzx0=")</f>
        <v>#REF!</v>
      </c>
      <c r="AE1" t="e">
        <f>AND('7th Grade Roster'!#REF!,"AAAAAHdvzx4=")</f>
        <v>#REF!</v>
      </c>
      <c r="AF1" t="e">
        <f>AND('7th Grade Roster'!#REF!,"AAAAAHdvzx8=")</f>
        <v>#REF!</v>
      </c>
      <c r="AG1" t="e">
        <f>AND('7th Grade Roster'!#REF!,"AAAAAHdvzyA=")</f>
        <v>#REF!</v>
      </c>
      <c r="AH1" t="e">
        <f>AND('7th Grade Roster'!#REF!,"AAAAAHdvzyE=")</f>
        <v>#REF!</v>
      </c>
      <c r="AI1" t="e">
        <f>AND('7th Grade Roster'!#REF!,"AAAAAHdvzyI=")</f>
        <v>#REF!</v>
      </c>
      <c r="AJ1" t="e">
        <f>AND('7th Grade Roster'!#REF!,"AAAAAHdvzyM=")</f>
        <v>#REF!</v>
      </c>
      <c r="AK1" t="e">
        <f>AND('7th Grade Roster'!#REF!,"AAAAAHdvzyQ=")</f>
        <v>#REF!</v>
      </c>
      <c r="AL1" t="e">
        <f>AND('7th Grade Roster'!#REF!,"AAAAAHdvzyU=")</f>
        <v>#REF!</v>
      </c>
      <c r="AM1" t="e">
        <f>AND('7th Grade Roster'!#REF!,"AAAAAHdvzyY=")</f>
        <v>#REF!</v>
      </c>
      <c r="AN1" t="e">
        <f>AND('7th Grade Roster'!#REF!,"AAAAAHdvzyc=")</f>
        <v>#REF!</v>
      </c>
      <c r="AO1" t="e">
        <f>IF('7th Grade Roster'!#REF!,"AAAAAHdvzyg=",0)</f>
        <v>#REF!</v>
      </c>
      <c r="AP1" t="e">
        <f>AND('7th Grade Roster'!#REF!,"AAAAAHdvzyk=")</f>
        <v>#REF!</v>
      </c>
      <c r="AQ1" t="e">
        <f>AND('7th Grade Roster'!#REF!,"AAAAAHdvzyo=")</f>
        <v>#REF!</v>
      </c>
      <c r="AR1" t="e">
        <f>AND('7th Grade Roster'!#REF!,"AAAAAHdvzys=")</f>
        <v>#REF!</v>
      </c>
      <c r="AS1" t="e">
        <f>AND('7th Grade Roster'!#REF!,"AAAAAHdvzyw=")</f>
        <v>#REF!</v>
      </c>
      <c r="AT1" t="e">
        <f>AND('7th Grade Roster'!#REF!,"AAAAAHdvzy0=")</f>
        <v>#REF!</v>
      </c>
      <c r="AU1" t="e">
        <f>AND('7th Grade Roster'!#REF!,"AAAAAHdvzy4=")</f>
        <v>#REF!</v>
      </c>
      <c r="AV1" t="e">
        <f>AND('7th Grade Roster'!#REF!,"AAAAAHdvzy8=")</f>
        <v>#REF!</v>
      </c>
      <c r="AW1" t="e">
        <f>AND('7th Grade Roster'!#REF!,"AAAAAHdvzzA=")</f>
        <v>#REF!</v>
      </c>
      <c r="AX1" t="e">
        <f>AND('7th Grade Roster'!#REF!,"AAAAAHdvzzE=")</f>
        <v>#REF!</v>
      </c>
      <c r="AY1" t="e">
        <f>AND('7th Grade Roster'!#REF!,"AAAAAHdvzzI=")</f>
        <v>#REF!</v>
      </c>
      <c r="AZ1" t="e">
        <f>AND('7th Grade Roster'!#REF!,"AAAAAHdvzzM=")</f>
        <v>#REF!</v>
      </c>
      <c r="BA1" t="e">
        <f>AND('7th Grade Roster'!#REF!,"AAAAAHdvzzQ=")</f>
        <v>#REF!</v>
      </c>
      <c r="BB1" t="e">
        <f>AND('7th Grade Roster'!#REF!,"AAAAAHdvzzU=")</f>
        <v>#REF!</v>
      </c>
      <c r="BC1" t="e">
        <f>AND('7th Grade Roster'!#REF!,"AAAAAHdvzzY=")</f>
        <v>#REF!</v>
      </c>
      <c r="BD1" t="e">
        <f>AND('7th Grade Roster'!#REF!,"AAAAAHdvzzc=")</f>
        <v>#REF!</v>
      </c>
      <c r="BE1" t="e">
        <f>AND('7th Grade Roster'!#REF!,"AAAAAHdvzzg=")</f>
        <v>#REF!</v>
      </c>
      <c r="BF1" t="e">
        <f>AND('7th Grade Roster'!#REF!,"AAAAAHdvzzk=")</f>
        <v>#REF!</v>
      </c>
      <c r="BG1" t="e">
        <f>AND('7th Grade Roster'!#REF!,"AAAAAHdvzzo=")</f>
        <v>#REF!</v>
      </c>
      <c r="BH1" t="e">
        <f>AND('7th Grade Roster'!#REF!,"AAAAAHdvzzs=")</f>
        <v>#REF!</v>
      </c>
      <c r="BI1" t="e">
        <f>IF('7th Grade Roster'!#REF!,"AAAAAHdvzzw=",0)</f>
        <v>#REF!</v>
      </c>
      <c r="BJ1" t="e">
        <f>AND('7th Grade Roster'!#REF!,"AAAAAHdvzz0=")</f>
        <v>#REF!</v>
      </c>
      <c r="BK1" t="e">
        <f>AND('7th Grade Roster'!#REF!,"AAAAAHdvzz4=")</f>
        <v>#REF!</v>
      </c>
      <c r="BL1" t="e">
        <f>AND('7th Grade Roster'!#REF!,"AAAAAHdvzz8=")</f>
        <v>#REF!</v>
      </c>
      <c r="BM1" t="e">
        <f>AND('7th Grade Roster'!#REF!,"AAAAAHdvz0A=")</f>
        <v>#REF!</v>
      </c>
      <c r="BN1" t="e">
        <f>AND('7th Grade Roster'!#REF!,"AAAAAHdvz0E=")</f>
        <v>#REF!</v>
      </c>
      <c r="BO1" t="e">
        <f>AND('7th Grade Roster'!#REF!,"AAAAAHdvz0I=")</f>
        <v>#REF!</v>
      </c>
      <c r="BP1" t="e">
        <f>AND('7th Grade Roster'!#REF!,"AAAAAHdvz0M=")</f>
        <v>#REF!</v>
      </c>
      <c r="BQ1" t="e">
        <f>AND('7th Grade Roster'!#REF!,"AAAAAHdvz0Q=")</f>
        <v>#REF!</v>
      </c>
      <c r="BR1" t="e">
        <f>AND('7th Grade Roster'!#REF!,"AAAAAHdvz0U=")</f>
        <v>#REF!</v>
      </c>
      <c r="BS1" t="e">
        <f>AND('7th Grade Roster'!#REF!,"AAAAAHdvz0Y=")</f>
        <v>#REF!</v>
      </c>
      <c r="BT1" t="e">
        <f>AND('7th Grade Roster'!#REF!,"AAAAAHdvz0c=")</f>
        <v>#REF!</v>
      </c>
      <c r="BU1" t="e">
        <f>AND('7th Grade Roster'!#REF!,"AAAAAHdvz0g=")</f>
        <v>#REF!</v>
      </c>
      <c r="BV1" t="e">
        <f>AND('7th Grade Roster'!#REF!,"AAAAAHdvz0k=")</f>
        <v>#REF!</v>
      </c>
      <c r="BW1" t="e">
        <f>AND('7th Grade Roster'!#REF!,"AAAAAHdvz0o=")</f>
        <v>#REF!</v>
      </c>
      <c r="BX1" t="e">
        <f>AND('7th Grade Roster'!#REF!,"AAAAAHdvz0s=")</f>
        <v>#REF!</v>
      </c>
      <c r="BY1" t="e">
        <f>AND('7th Grade Roster'!#REF!,"AAAAAHdvz0w=")</f>
        <v>#REF!</v>
      </c>
      <c r="BZ1" t="e">
        <f>AND('7th Grade Roster'!#REF!,"AAAAAHdvz00=")</f>
        <v>#REF!</v>
      </c>
      <c r="CA1" t="e">
        <f>AND('7th Grade Roster'!#REF!,"AAAAAHdvz04=")</f>
        <v>#REF!</v>
      </c>
      <c r="CB1" t="e">
        <f>AND('7th Grade Roster'!#REF!,"AAAAAHdvz08=")</f>
        <v>#REF!</v>
      </c>
      <c r="CC1">
        <f>IF('7th Grade Roster'!1:1,"AAAAAHdvz1A=",0)</f>
        <v>0</v>
      </c>
      <c r="CD1" t="e">
        <f>AND('7th Grade Roster'!A1,"AAAAAHdvz1E=")</f>
        <v>#VALUE!</v>
      </c>
      <c r="CE1" t="e">
        <f>AND('7th Grade Roster'!B1,"AAAAAHdvz1I=")</f>
        <v>#VALUE!</v>
      </c>
      <c r="CF1" t="e">
        <f>AND('7th Grade Roster'!C1,"AAAAAHdvz1M=")</f>
        <v>#VALUE!</v>
      </c>
      <c r="CG1" t="e">
        <f>AND('7th Grade Roster'!D1,"AAAAAHdvz1Q=")</f>
        <v>#VALUE!</v>
      </c>
      <c r="CH1" t="e">
        <f>AND('7th Grade Roster'!E1,"AAAAAHdvz1U=")</f>
        <v>#VALUE!</v>
      </c>
      <c r="CI1" t="e">
        <f>AND('7th Grade Roster'!F1,"AAAAAHdvz1Y=")</f>
        <v>#VALUE!</v>
      </c>
      <c r="CJ1" t="e">
        <f>AND('7th Grade Roster'!G1,"AAAAAHdvz1c=")</f>
        <v>#VALUE!</v>
      </c>
      <c r="CK1" t="e">
        <f>AND('7th Grade Roster'!H1,"AAAAAHdvz1g=")</f>
        <v>#VALUE!</v>
      </c>
      <c r="CL1" t="e">
        <f>AND('7th Grade Roster'!I1,"AAAAAHdvz1k=")</f>
        <v>#VALUE!</v>
      </c>
      <c r="CM1" t="e">
        <f>AND('7th Grade Roster'!J1,"AAAAAHdvz1o=")</f>
        <v>#VALUE!</v>
      </c>
      <c r="CN1" t="e">
        <f>AND('7th Grade Roster'!K1,"AAAAAHdvz1s=")</f>
        <v>#VALUE!</v>
      </c>
      <c r="CO1" t="e">
        <f>AND('7th Grade Roster'!L1,"AAAAAHdvz1w=")</f>
        <v>#VALUE!</v>
      </c>
      <c r="CP1" t="e">
        <f>AND('7th Grade Roster'!M1,"AAAAAHdvz10=")</f>
        <v>#VALUE!</v>
      </c>
      <c r="CQ1" t="e">
        <f>AND('7th Grade Roster'!N1,"AAAAAHdvz14=")</f>
        <v>#VALUE!</v>
      </c>
      <c r="CR1" t="e">
        <f>AND('7th Grade Roster'!O1,"AAAAAHdvz18=")</f>
        <v>#VALUE!</v>
      </c>
      <c r="CS1" t="e">
        <f>AND('7th Grade Roster'!S1,"AAAAAHdvz2A=")</f>
        <v>#VALUE!</v>
      </c>
      <c r="CT1" t="e">
        <f>AND('7th Grade Roster'!T1,"AAAAAHdvz2E=")</f>
        <v>#VALUE!</v>
      </c>
      <c r="CU1" t="e">
        <f>AND('7th Grade Roster'!U1,"AAAAAHdvz2I=")</f>
        <v>#VALUE!</v>
      </c>
      <c r="CV1" t="e">
        <f>AND('7th Grade Roster'!V1,"AAAAAHdvz2M=")</f>
        <v>#VALUE!</v>
      </c>
      <c r="CW1">
        <f>IF('7th Grade Roster'!2:2,"AAAAAHdvz2Q=",0)</f>
        <v>0</v>
      </c>
      <c r="CX1" t="e">
        <f>AND('7th Grade Roster'!A2,"AAAAAHdvz2U=")</f>
        <v>#VALUE!</v>
      </c>
      <c r="CY1" t="e">
        <f>AND('7th Grade Roster'!B2,"AAAAAHdvz2Y=")</f>
        <v>#VALUE!</v>
      </c>
      <c r="CZ1" t="e">
        <f>AND('7th Grade Roster'!C2,"AAAAAHdvz2c=")</f>
        <v>#VALUE!</v>
      </c>
      <c r="DA1" t="e">
        <f>AND('7th Grade Roster'!D2,"AAAAAHdvz2g=")</f>
        <v>#VALUE!</v>
      </c>
      <c r="DB1" t="e">
        <f>AND('7th Grade Roster'!E2,"AAAAAHdvz2k=")</f>
        <v>#VALUE!</v>
      </c>
      <c r="DC1" t="e">
        <f>AND('7th Grade Roster'!F2,"AAAAAHdvz2o=")</f>
        <v>#VALUE!</v>
      </c>
      <c r="DD1" t="e">
        <f>AND('7th Grade Roster'!G2,"AAAAAHdvz2s=")</f>
        <v>#VALUE!</v>
      </c>
      <c r="DE1" t="e">
        <f>AND('7th Grade Roster'!H2,"AAAAAHdvz2w=")</f>
        <v>#VALUE!</v>
      </c>
      <c r="DF1" t="e">
        <f>AND('7th Grade Roster'!I2,"AAAAAHdvz20=")</f>
        <v>#VALUE!</v>
      </c>
      <c r="DG1" t="e">
        <f>AND('7th Grade Roster'!J2,"AAAAAHdvz24=")</f>
        <v>#VALUE!</v>
      </c>
      <c r="DH1" t="e">
        <f>AND('7th Grade Roster'!K2,"AAAAAHdvz28=")</f>
        <v>#VALUE!</v>
      </c>
      <c r="DI1" t="e">
        <f>AND('7th Grade Roster'!L2,"AAAAAHdvz3A=")</f>
        <v>#VALUE!</v>
      </c>
      <c r="DJ1" t="e">
        <f>AND('7th Grade Roster'!M2,"AAAAAHdvz3E=")</f>
        <v>#VALUE!</v>
      </c>
      <c r="DK1" t="e">
        <f>AND('7th Grade Roster'!N2,"AAAAAHdvz3I=")</f>
        <v>#VALUE!</v>
      </c>
      <c r="DL1" t="e">
        <f>AND('7th Grade Roster'!O2,"AAAAAHdvz3M=")</f>
        <v>#VALUE!</v>
      </c>
      <c r="DM1" t="e">
        <f>AND('7th Grade Roster'!S2,"AAAAAHdvz3Q=")</f>
        <v>#VALUE!</v>
      </c>
      <c r="DN1" t="e">
        <f>AND('7th Grade Roster'!T2,"AAAAAHdvz3U=")</f>
        <v>#VALUE!</v>
      </c>
      <c r="DO1" t="e">
        <f>AND('7th Grade Roster'!U2,"AAAAAHdvz3Y=")</f>
        <v>#VALUE!</v>
      </c>
      <c r="DP1" t="e">
        <f>AND('7th Grade Roster'!V2,"AAAAAHdvz3c=")</f>
        <v>#VALUE!</v>
      </c>
      <c r="DQ1">
        <f>IF('7th Grade Roster'!3:3,"AAAAAHdvz3g=",0)</f>
        <v>0</v>
      </c>
      <c r="DR1" t="e">
        <f>AND('7th Grade Roster'!A3,"AAAAAHdvz3k=")</f>
        <v>#VALUE!</v>
      </c>
      <c r="DS1" t="e">
        <f>AND('7th Grade Roster'!B3,"AAAAAHdvz3o=")</f>
        <v>#VALUE!</v>
      </c>
      <c r="DT1" t="e">
        <f>AND('7th Grade Roster'!C3,"AAAAAHdvz3s=")</f>
        <v>#VALUE!</v>
      </c>
      <c r="DU1" t="e">
        <f>AND('7th Grade Roster'!D3,"AAAAAHdvz3w=")</f>
        <v>#VALUE!</v>
      </c>
      <c r="DV1" t="e">
        <f>AND('7th Grade Roster'!E3,"AAAAAHdvz30=")</f>
        <v>#VALUE!</v>
      </c>
      <c r="DW1" t="e">
        <f>AND('7th Grade Roster'!F3,"AAAAAHdvz34=")</f>
        <v>#VALUE!</v>
      </c>
      <c r="DX1" t="e">
        <f>AND('7th Grade Roster'!G3,"AAAAAHdvz38=")</f>
        <v>#VALUE!</v>
      </c>
      <c r="DY1" t="e">
        <f>AND('7th Grade Roster'!H3,"AAAAAHdvz4A=")</f>
        <v>#VALUE!</v>
      </c>
      <c r="DZ1" t="e">
        <f>AND('7th Grade Roster'!I3,"AAAAAHdvz4E=")</f>
        <v>#VALUE!</v>
      </c>
      <c r="EA1" t="e">
        <f>AND('7th Grade Roster'!J3,"AAAAAHdvz4I=")</f>
        <v>#VALUE!</v>
      </c>
      <c r="EB1" t="e">
        <f>AND('7th Grade Roster'!K3,"AAAAAHdvz4M=")</f>
        <v>#VALUE!</v>
      </c>
      <c r="EC1" t="e">
        <f>AND('7th Grade Roster'!L3,"AAAAAHdvz4Q=")</f>
        <v>#VALUE!</v>
      </c>
      <c r="ED1" t="e">
        <f>AND('7th Grade Roster'!M3,"AAAAAHdvz4U=")</f>
        <v>#VALUE!</v>
      </c>
      <c r="EE1" t="e">
        <f>AND('7th Grade Roster'!N3,"AAAAAHdvz4Y=")</f>
        <v>#VALUE!</v>
      </c>
      <c r="EF1" t="e">
        <f>AND('7th Grade Roster'!O3,"AAAAAHdvz4c=")</f>
        <v>#VALUE!</v>
      </c>
      <c r="EG1" t="e">
        <f>AND('7th Grade Roster'!S3,"AAAAAHdvz4g=")</f>
        <v>#VALUE!</v>
      </c>
      <c r="EH1" t="e">
        <f>AND('7th Grade Roster'!T3,"AAAAAHdvz4k=")</f>
        <v>#VALUE!</v>
      </c>
      <c r="EI1" t="e">
        <f>AND('7th Grade Roster'!U3,"AAAAAHdvz4o=")</f>
        <v>#VALUE!</v>
      </c>
      <c r="EJ1" t="e">
        <f>AND('7th Grade Roster'!V3,"AAAAAHdvz4s=")</f>
        <v>#VALUE!</v>
      </c>
      <c r="EK1">
        <f>IF('7th Grade Roster'!4:4,"AAAAAHdvz4w=",0)</f>
        <v>0</v>
      </c>
      <c r="EL1" t="e">
        <f>AND('7th Grade Roster'!A4,"AAAAAHdvz40=")</f>
        <v>#VALUE!</v>
      </c>
      <c r="EM1" t="e">
        <f>AND('7th Grade Roster'!B4,"AAAAAHdvz44=")</f>
        <v>#VALUE!</v>
      </c>
      <c r="EN1" t="e">
        <f>AND('7th Grade Roster'!C4,"AAAAAHdvz48=")</f>
        <v>#VALUE!</v>
      </c>
      <c r="EO1" t="e">
        <f>AND('7th Grade Roster'!D4,"AAAAAHdvz5A=")</f>
        <v>#VALUE!</v>
      </c>
      <c r="EP1" t="e">
        <f>AND('7th Grade Roster'!E4,"AAAAAHdvz5E=")</f>
        <v>#VALUE!</v>
      </c>
      <c r="EQ1" t="e">
        <f>AND('7th Grade Roster'!F4,"AAAAAHdvz5I=")</f>
        <v>#VALUE!</v>
      </c>
      <c r="ER1" t="e">
        <f>AND('7th Grade Roster'!G4,"AAAAAHdvz5M=")</f>
        <v>#VALUE!</v>
      </c>
      <c r="ES1" t="e">
        <f>AND('7th Grade Roster'!H4,"AAAAAHdvz5Q=")</f>
        <v>#VALUE!</v>
      </c>
      <c r="ET1" t="e">
        <f>AND('7th Grade Roster'!I4,"AAAAAHdvz5U=")</f>
        <v>#VALUE!</v>
      </c>
      <c r="EU1" t="e">
        <f>AND('7th Grade Roster'!J4,"AAAAAHdvz5Y=")</f>
        <v>#VALUE!</v>
      </c>
      <c r="EV1" t="e">
        <f>AND('7th Grade Roster'!K4,"AAAAAHdvz5c=")</f>
        <v>#VALUE!</v>
      </c>
      <c r="EW1" t="e">
        <f>AND('7th Grade Roster'!L4,"AAAAAHdvz5g=")</f>
        <v>#VALUE!</v>
      </c>
      <c r="EX1" t="e">
        <f>AND('7th Grade Roster'!M4,"AAAAAHdvz5k=")</f>
        <v>#VALUE!</v>
      </c>
      <c r="EY1" t="e">
        <f>AND('7th Grade Roster'!N4,"AAAAAHdvz5o=")</f>
        <v>#VALUE!</v>
      </c>
      <c r="EZ1" t="e">
        <f>AND('7th Grade Roster'!O4,"AAAAAHdvz5s=")</f>
        <v>#VALUE!</v>
      </c>
      <c r="FA1" t="e">
        <f>AND('7th Grade Roster'!S4,"AAAAAHdvz5w=")</f>
        <v>#VALUE!</v>
      </c>
      <c r="FB1" t="e">
        <f>AND('7th Grade Roster'!T4,"AAAAAHdvz50=")</f>
        <v>#VALUE!</v>
      </c>
      <c r="FC1" t="e">
        <f>AND('7th Grade Roster'!U4,"AAAAAHdvz54=")</f>
        <v>#VALUE!</v>
      </c>
      <c r="FD1" t="e">
        <f>AND('7th Grade Roster'!V4,"AAAAAHdvz58=")</f>
        <v>#VALUE!</v>
      </c>
      <c r="FE1">
        <f>IF('7th Grade Roster'!5:5,"AAAAAHdvz6A=",0)</f>
        <v>0</v>
      </c>
      <c r="FF1" t="e">
        <f>AND('7th Grade Roster'!A5,"AAAAAHdvz6E=")</f>
        <v>#VALUE!</v>
      </c>
      <c r="FG1" t="e">
        <f>AND('7th Grade Roster'!B5,"AAAAAHdvz6I=")</f>
        <v>#VALUE!</v>
      </c>
      <c r="FH1" t="e">
        <f>AND('7th Grade Roster'!C5,"AAAAAHdvz6M=")</f>
        <v>#VALUE!</v>
      </c>
      <c r="FI1" t="e">
        <f>AND('7th Grade Roster'!D5,"AAAAAHdvz6Q=")</f>
        <v>#VALUE!</v>
      </c>
      <c r="FJ1" t="e">
        <f>AND('7th Grade Roster'!E5,"AAAAAHdvz6U=")</f>
        <v>#VALUE!</v>
      </c>
      <c r="FK1" t="e">
        <f>AND('7th Grade Roster'!F5,"AAAAAHdvz6Y=")</f>
        <v>#VALUE!</v>
      </c>
      <c r="FL1" t="e">
        <f>AND('7th Grade Roster'!G5,"AAAAAHdvz6c=")</f>
        <v>#VALUE!</v>
      </c>
      <c r="FM1" t="e">
        <f>AND('7th Grade Roster'!H5,"AAAAAHdvz6g=")</f>
        <v>#VALUE!</v>
      </c>
      <c r="FN1" t="e">
        <f>AND('7th Grade Roster'!I5,"AAAAAHdvz6k=")</f>
        <v>#VALUE!</v>
      </c>
      <c r="FO1" t="e">
        <f>AND('7th Grade Roster'!J5,"AAAAAHdvz6o=")</f>
        <v>#VALUE!</v>
      </c>
      <c r="FP1" t="e">
        <f>AND('7th Grade Roster'!K5,"AAAAAHdvz6s=")</f>
        <v>#VALUE!</v>
      </c>
      <c r="FQ1" t="e">
        <f>AND('7th Grade Roster'!L5,"AAAAAHdvz6w=")</f>
        <v>#VALUE!</v>
      </c>
      <c r="FR1" t="e">
        <f>AND('7th Grade Roster'!M5,"AAAAAHdvz60=")</f>
        <v>#VALUE!</v>
      </c>
      <c r="FS1" t="e">
        <f>AND('7th Grade Roster'!N5,"AAAAAHdvz64=")</f>
        <v>#VALUE!</v>
      </c>
      <c r="FT1" t="e">
        <f>AND('7th Grade Roster'!O5,"AAAAAHdvz68=")</f>
        <v>#VALUE!</v>
      </c>
      <c r="FU1" t="e">
        <f>AND('7th Grade Roster'!S5,"AAAAAHdvz7A=")</f>
        <v>#VALUE!</v>
      </c>
      <c r="FV1" t="e">
        <f>AND('7th Grade Roster'!T5,"AAAAAHdvz7E=")</f>
        <v>#VALUE!</v>
      </c>
      <c r="FW1" t="e">
        <f>AND('7th Grade Roster'!U5,"AAAAAHdvz7I=")</f>
        <v>#VALUE!</v>
      </c>
      <c r="FX1" t="e">
        <f>AND('7th Grade Roster'!V5,"AAAAAHdvz7M=")</f>
        <v>#VALUE!</v>
      </c>
      <c r="FY1">
        <f>IF('7th Grade Roster'!6:6,"AAAAAHdvz7Q=",0)</f>
        <v>0</v>
      </c>
      <c r="FZ1" t="e">
        <f>AND('7th Grade Roster'!A6,"AAAAAHdvz7U=")</f>
        <v>#VALUE!</v>
      </c>
      <c r="GA1" t="e">
        <f>AND('7th Grade Roster'!B6,"AAAAAHdvz7Y=")</f>
        <v>#VALUE!</v>
      </c>
      <c r="GB1" t="e">
        <f>AND('7th Grade Roster'!C6,"AAAAAHdvz7c=")</f>
        <v>#VALUE!</v>
      </c>
      <c r="GC1" t="e">
        <f>AND('7th Grade Roster'!D6,"AAAAAHdvz7g=")</f>
        <v>#VALUE!</v>
      </c>
      <c r="GD1" t="e">
        <f>AND('7th Grade Roster'!E6,"AAAAAHdvz7k=")</f>
        <v>#VALUE!</v>
      </c>
      <c r="GE1" t="e">
        <f>AND('7th Grade Roster'!F6,"AAAAAHdvz7o=")</f>
        <v>#VALUE!</v>
      </c>
      <c r="GF1" t="e">
        <f>AND('7th Grade Roster'!G6,"AAAAAHdvz7s=")</f>
        <v>#VALUE!</v>
      </c>
      <c r="GG1" t="e">
        <f>AND('7th Grade Roster'!H6,"AAAAAHdvz7w=")</f>
        <v>#VALUE!</v>
      </c>
      <c r="GH1" t="e">
        <f>AND('7th Grade Roster'!I6,"AAAAAHdvz70=")</f>
        <v>#VALUE!</v>
      </c>
      <c r="GI1" t="e">
        <f>AND('7th Grade Roster'!J6,"AAAAAHdvz74=")</f>
        <v>#VALUE!</v>
      </c>
      <c r="GJ1" t="e">
        <f>AND('7th Grade Roster'!K6,"AAAAAHdvz78=")</f>
        <v>#VALUE!</v>
      </c>
      <c r="GK1" t="e">
        <f>AND('7th Grade Roster'!L6,"AAAAAHdvz8A=")</f>
        <v>#VALUE!</v>
      </c>
      <c r="GL1" t="e">
        <f>AND('7th Grade Roster'!M6,"AAAAAHdvz8E=")</f>
        <v>#VALUE!</v>
      </c>
      <c r="GM1" t="e">
        <f>AND('7th Grade Roster'!N6,"AAAAAHdvz8I=")</f>
        <v>#VALUE!</v>
      </c>
      <c r="GN1" t="e">
        <f>AND('7th Grade Roster'!O6,"AAAAAHdvz8M=")</f>
        <v>#VALUE!</v>
      </c>
      <c r="GO1" t="e">
        <f>AND('7th Grade Roster'!S6,"AAAAAHdvz8Q=")</f>
        <v>#VALUE!</v>
      </c>
      <c r="GP1" t="e">
        <f>AND('7th Grade Roster'!T6,"AAAAAHdvz8U=")</f>
        <v>#VALUE!</v>
      </c>
      <c r="GQ1" t="e">
        <f>AND('7th Grade Roster'!U6,"AAAAAHdvz8Y=")</f>
        <v>#VALUE!</v>
      </c>
      <c r="GR1" t="e">
        <f>AND('7th Grade Roster'!V6,"AAAAAHdvz8c=")</f>
        <v>#VALUE!</v>
      </c>
      <c r="GS1">
        <f>IF('7th Grade Roster'!7:7,"AAAAAHdvz8g=",0)</f>
        <v>0</v>
      </c>
      <c r="GT1" t="e">
        <f>AND('7th Grade Roster'!A7,"AAAAAHdvz8k=")</f>
        <v>#VALUE!</v>
      </c>
      <c r="GU1" t="e">
        <f>AND('7th Grade Roster'!B7,"AAAAAHdvz8o=")</f>
        <v>#VALUE!</v>
      </c>
      <c r="GV1" t="e">
        <f>AND('7th Grade Roster'!C7,"AAAAAHdvz8s=")</f>
        <v>#VALUE!</v>
      </c>
      <c r="GW1" t="e">
        <f>AND('7th Grade Roster'!D7,"AAAAAHdvz8w=")</f>
        <v>#VALUE!</v>
      </c>
      <c r="GX1" t="e">
        <f>AND('7th Grade Roster'!E7,"AAAAAHdvz80=")</f>
        <v>#VALUE!</v>
      </c>
      <c r="GY1" t="e">
        <f>AND('7th Grade Roster'!F7,"AAAAAHdvz84=")</f>
        <v>#VALUE!</v>
      </c>
      <c r="GZ1" t="e">
        <f>AND('7th Grade Roster'!G7,"AAAAAHdvz88=")</f>
        <v>#VALUE!</v>
      </c>
      <c r="HA1" t="e">
        <f>AND('7th Grade Roster'!H7,"AAAAAHdvz9A=")</f>
        <v>#VALUE!</v>
      </c>
      <c r="HB1" t="e">
        <f>AND('7th Grade Roster'!I7,"AAAAAHdvz9E=")</f>
        <v>#VALUE!</v>
      </c>
      <c r="HC1" t="e">
        <f>AND('7th Grade Roster'!J7,"AAAAAHdvz9I=")</f>
        <v>#VALUE!</v>
      </c>
      <c r="HD1" t="e">
        <f>AND('7th Grade Roster'!K7,"AAAAAHdvz9M=")</f>
        <v>#VALUE!</v>
      </c>
      <c r="HE1" t="e">
        <f>AND('7th Grade Roster'!L7,"AAAAAHdvz9Q=")</f>
        <v>#VALUE!</v>
      </c>
      <c r="HF1" t="e">
        <f>AND('7th Grade Roster'!M7,"AAAAAHdvz9U=")</f>
        <v>#VALUE!</v>
      </c>
      <c r="HG1" t="e">
        <f>AND('7th Grade Roster'!N7,"AAAAAHdvz9Y=")</f>
        <v>#VALUE!</v>
      </c>
      <c r="HH1" t="e">
        <f>AND('7th Grade Roster'!O7,"AAAAAHdvz9c=")</f>
        <v>#VALUE!</v>
      </c>
      <c r="HI1" t="e">
        <f>AND('7th Grade Roster'!S7,"AAAAAHdvz9g=")</f>
        <v>#VALUE!</v>
      </c>
      <c r="HJ1" t="e">
        <f>AND('7th Grade Roster'!T7,"AAAAAHdvz9k=")</f>
        <v>#VALUE!</v>
      </c>
      <c r="HK1" t="e">
        <f>AND('7th Grade Roster'!U7,"AAAAAHdvz9o=")</f>
        <v>#VALUE!</v>
      </c>
      <c r="HL1" t="e">
        <f>AND('7th Grade Roster'!V7,"AAAAAHdvz9s=")</f>
        <v>#VALUE!</v>
      </c>
      <c r="HM1">
        <f>IF('7th Grade Roster'!8:8,"AAAAAHdvz9w=",0)</f>
        <v>0</v>
      </c>
      <c r="HN1" t="e">
        <f>AND('7th Grade Roster'!A8,"AAAAAHdvz90=")</f>
        <v>#VALUE!</v>
      </c>
      <c r="HO1" t="e">
        <f>AND('7th Grade Roster'!B8,"AAAAAHdvz94=")</f>
        <v>#VALUE!</v>
      </c>
      <c r="HP1" t="e">
        <f>AND('7th Grade Roster'!C8,"AAAAAHdvz98=")</f>
        <v>#VALUE!</v>
      </c>
      <c r="HQ1" t="e">
        <f>AND('7th Grade Roster'!D8,"AAAAAHdvz+A=")</f>
        <v>#VALUE!</v>
      </c>
      <c r="HR1" t="e">
        <f>AND('7th Grade Roster'!E8,"AAAAAHdvz+E=")</f>
        <v>#VALUE!</v>
      </c>
      <c r="HS1" t="e">
        <f>AND('7th Grade Roster'!F8,"AAAAAHdvz+I=")</f>
        <v>#VALUE!</v>
      </c>
      <c r="HT1" t="e">
        <f>AND('7th Grade Roster'!G8,"AAAAAHdvz+M=")</f>
        <v>#VALUE!</v>
      </c>
      <c r="HU1" t="e">
        <f>AND('7th Grade Roster'!H8,"AAAAAHdvz+Q=")</f>
        <v>#VALUE!</v>
      </c>
      <c r="HV1" t="e">
        <f>AND('7th Grade Roster'!I8,"AAAAAHdvz+U=")</f>
        <v>#VALUE!</v>
      </c>
      <c r="HW1" t="e">
        <f>AND('7th Grade Roster'!J8,"AAAAAHdvz+Y=")</f>
        <v>#VALUE!</v>
      </c>
      <c r="HX1" t="e">
        <f>AND('7th Grade Roster'!K8,"AAAAAHdvz+c=")</f>
        <v>#VALUE!</v>
      </c>
      <c r="HY1" t="e">
        <f>AND('7th Grade Roster'!L8,"AAAAAHdvz+g=")</f>
        <v>#VALUE!</v>
      </c>
      <c r="HZ1" t="e">
        <f>AND('7th Grade Roster'!M8,"AAAAAHdvz+k=")</f>
        <v>#VALUE!</v>
      </c>
      <c r="IA1" t="e">
        <f>AND('7th Grade Roster'!N8,"AAAAAHdvz+o=")</f>
        <v>#VALUE!</v>
      </c>
      <c r="IB1" t="e">
        <f>AND('7th Grade Roster'!O8,"AAAAAHdvz+s=")</f>
        <v>#VALUE!</v>
      </c>
      <c r="IC1" t="e">
        <f>AND('7th Grade Roster'!S8,"AAAAAHdvz+w=")</f>
        <v>#VALUE!</v>
      </c>
      <c r="ID1" t="e">
        <f>AND('7th Grade Roster'!T8,"AAAAAHdvz+0=")</f>
        <v>#VALUE!</v>
      </c>
      <c r="IE1" t="e">
        <f>AND('7th Grade Roster'!U8,"AAAAAHdvz+4=")</f>
        <v>#VALUE!</v>
      </c>
      <c r="IF1" t="e">
        <f>AND('7th Grade Roster'!V8,"AAAAAHdvz+8=")</f>
        <v>#VALUE!</v>
      </c>
      <c r="IG1">
        <f>IF('7th Grade Roster'!9:9,"AAAAAHdvz/A=",0)</f>
        <v>0</v>
      </c>
      <c r="IH1" t="e">
        <f>AND('7th Grade Roster'!A9,"AAAAAHdvz/E=")</f>
        <v>#VALUE!</v>
      </c>
      <c r="II1" t="e">
        <f>AND('7th Grade Roster'!B9,"AAAAAHdvz/I=")</f>
        <v>#VALUE!</v>
      </c>
      <c r="IJ1" t="e">
        <f>AND('7th Grade Roster'!C9,"AAAAAHdvz/M=")</f>
        <v>#VALUE!</v>
      </c>
      <c r="IK1" t="e">
        <f>AND('7th Grade Roster'!D9,"AAAAAHdvz/Q=")</f>
        <v>#VALUE!</v>
      </c>
      <c r="IL1" t="e">
        <f>AND('7th Grade Roster'!E9,"AAAAAHdvz/U=")</f>
        <v>#VALUE!</v>
      </c>
      <c r="IM1" t="e">
        <f>AND('7th Grade Roster'!F9,"AAAAAHdvz/Y=")</f>
        <v>#VALUE!</v>
      </c>
      <c r="IN1" t="e">
        <f>AND('7th Grade Roster'!G9,"AAAAAHdvz/c=")</f>
        <v>#VALUE!</v>
      </c>
      <c r="IO1" t="e">
        <f>AND('7th Grade Roster'!H9,"AAAAAHdvz/g=")</f>
        <v>#VALUE!</v>
      </c>
      <c r="IP1" t="e">
        <f>AND('7th Grade Roster'!I9,"AAAAAHdvz/k=")</f>
        <v>#VALUE!</v>
      </c>
      <c r="IQ1" t="e">
        <f>AND('7th Grade Roster'!J9,"AAAAAHdvz/o=")</f>
        <v>#VALUE!</v>
      </c>
      <c r="IR1" t="e">
        <f>AND('7th Grade Roster'!K9,"AAAAAHdvz/s=")</f>
        <v>#VALUE!</v>
      </c>
      <c r="IS1" t="e">
        <f>AND('7th Grade Roster'!L9,"AAAAAHdvz/w=")</f>
        <v>#VALUE!</v>
      </c>
      <c r="IT1" t="e">
        <f>AND('7th Grade Roster'!M9,"AAAAAHdvz/0=")</f>
        <v>#VALUE!</v>
      </c>
      <c r="IU1" t="e">
        <f>AND('7th Grade Roster'!N9,"AAAAAHdvz/4=")</f>
        <v>#VALUE!</v>
      </c>
      <c r="IV1" t="e">
        <f>AND('7th Grade Roster'!O9,"AAAAAHdvz/8=")</f>
        <v>#VALUE!</v>
      </c>
    </row>
    <row r="2" spans="1:256" x14ac:dyDescent="0.2">
      <c r="A2" t="e">
        <f>AND('7th Grade Roster'!S9,"AAAAAHf3nAA=")</f>
        <v>#VALUE!</v>
      </c>
      <c r="B2" t="e">
        <f>AND('7th Grade Roster'!T9,"AAAAAHf3nAE=")</f>
        <v>#VALUE!</v>
      </c>
      <c r="C2" t="e">
        <f>AND('7th Grade Roster'!U9,"AAAAAHf3nAI=")</f>
        <v>#VALUE!</v>
      </c>
      <c r="D2" t="e">
        <f>AND('7th Grade Roster'!V9,"AAAAAHf3nAM=")</f>
        <v>#VALUE!</v>
      </c>
      <c r="E2">
        <f>IF('7th Grade Roster'!10:10,"AAAAAHf3nAQ=",0)</f>
        <v>0</v>
      </c>
      <c r="F2" t="e">
        <f>AND('7th Grade Roster'!A10,"AAAAAHf3nAU=")</f>
        <v>#VALUE!</v>
      </c>
      <c r="G2" t="e">
        <f>AND('7th Grade Roster'!B10,"AAAAAHf3nAY=")</f>
        <v>#VALUE!</v>
      </c>
      <c r="H2" t="e">
        <f>AND('7th Grade Roster'!C10,"AAAAAHf3nAc=")</f>
        <v>#VALUE!</v>
      </c>
      <c r="I2" t="e">
        <f>AND('7th Grade Roster'!D10,"AAAAAHf3nAg=")</f>
        <v>#VALUE!</v>
      </c>
      <c r="J2" t="e">
        <f>AND('7th Grade Roster'!E10,"AAAAAHf3nAk=")</f>
        <v>#VALUE!</v>
      </c>
      <c r="K2" t="e">
        <f>AND('7th Grade Roster'!F10,"AAAAAHf3nAo=")</f>
        <v>#VALUE!</v>
      </c>
      <c r="L2" t="e">
        <f>AND('7th Grade Roster'!G10,"AAAAAHf3nAs=")</f>
        <v>#VALUE!</v>
      </c>
      <c r="M2" t="e">
        <f>AND('7th Grade Roster'!H10,"AAAAAHf3nAw=")</f>
        <v>#VALUE!</v>
      </c>
      <c r="N2" t="e">
        <f>AND('7th Grade Roster'!I10,"AAAAAHf3nA0=")</f>
        <v>#VALUE!</v>
      </c>
      <c r="O2" t="e">
        <f>AND('7th Grade Roster'!J10,"AAAAAHf3nA4=")</f>
        <v>#VALUE!</v>
      </c>
      <c r="P2" t="e">
        <f>AND('7th Grade Roster'!K10,"AAAAAHf3nA8=")</f>
        <v>#VALUE!</v>
      </c>
      <c r="Q2" t="e">
        <f>AND('7th Grade Roster'!L10,"AAAAAHf3nBA=")</f>
        <v>#VALUE!</v>
      </c>
      <c r="R2" t="e">
        <f>AND('7th Grade Roster'!M10,"AAAAAHf3nBE=")</f>
        <v>#VALUE!</v>
      </c>
      <c r="S2" t="e">
        <f>AND('7th Grade Roster'!N10,"AAAAAHf3nBI=")</f>
        <v>#VALUE!</v>
      </c>
      <c r="T2" t="e">
        <f>AND('7th Grade Roster'!O10,"AAAAAHf3nBM=")</f>
        <v>#VALUE!</v>
      </c>
      <c r="U2" t="e">
        <f>AND('7th Grade Roster'!S10,"AAAAAHf3nBQ=")</f>
        <v>#VALUE!</v>
      </c>
      <c r="V2" t="e">
        <f>AND('7th Grade Roster'!T10,"AAAAAHf3nBU=")</f>
        <v>#VALUE!</v>
      </c>
      <c r="W2" t="e">
        <f>AND('7th Grade Roster'!U10,"AAAAAHf3nBY=")</f>
        <v>#VALUE!</v>
      </c>
      <c r="X2" t="e">
        <f>AND('7th Grade Roster'!V10,"AAAAAHf3nBc=")</f>
        <v>#VALUE!</v>
      </c>
      <c r="Y2">
        <f>IF('7th Grade Roster'!11:11,"AAAAAHf3nBg=",0)</f>
        <v>0</v>
      </c>
      <c r="Z2" t="e">
        <f>AND('7th Grade Roster'!A11,"AAAAAHf3nBk=")</f>
        <v>#VALUE!</v>
      </c>
      <c r="AA2" t="e">
        <f>AND('7th Grade Roster'!B11,"AAAAAHf3nBo=")</f>
        <v>#VALUE!</v>
      </c>
      <c r="AB2" t="e">
        <f>AND('7th Grade Roster'!C11,"AAAAAHf3nBs=")</f>
        <v>#VALUE!</v>
      </c>
      <c r="AC2" t="e">
        <f>AND('7th Grade Roster'!D11,"AAAAAHf3nBw=")</f>
        <v>#VALUE!</v>
      </c>
      <c r="AD2" t="e">
        <f>AND('7th Grade Roster'!E11,"AAAAAHf3nB0=")</f>
        <v>#VALUE!</v>
      </c>
      <c r="AE2" t="e">
        <f>AND('7th Grade Roster'!F11,"AAAAAHf3nB4=")</f>
        <v>#VALUE!</v>
      </c>
      <c r="AF2" t="e">
        <f>AND('7th Grade Roster'!G11,"AAAAAHf3nB8=")</f>
        <v>#VALUE!</v>
      </c>
      <c r="AG2" t="e">
        <f>AND('7th Grade Roster'!H11,"AAAAAHf3nCA=")</f>
        <v>#VALUE!</v>
      </c>
      <c r="AH2" t="e">
        <f>AND('7th Grade Roster'!I11,"AAAAAHf3nCE=")</f>
        <v>#VALUE!</v>
      </c>
      <c r="AI2" t="e">
        <f>AND('7th Grade Roster'!J11,"AAAAAHf3nCI=")</f>
        <v>#VALUE!</v>
      </c>
      <c r="AJ2" t="e">
        <f>AND('7th Grade Roster'!K11,"AAAAAHf3nCM=")</f>
        <v>#VALUE!</v>
      </c>
      <c r="AK2" t="e">
        <f>AND('7th Grade Roster'!L11,"AAAAAHf3nCQ=")</f>
        <v>#VALUE!</v>
      </c>
      <c r="AL2" t="e">
        <f>AND('7th Grade Roster'!M11,"AAAAAHf3nCU=")</f>
        <v>#VALUE!</v>
      </c>
      <c r="AM2" t="e">
        <f>AND('7th Grade Roster'!N11,"AAAAAHf3nCY=")</f>
        <v>#VALUE!</v>
      </c>
      <c r="AN2" t="e">
        <f>AND('7th Grade Roster'!O11,"AAAAAHf3nCc=")</f>
        <v>#VALUE!</v>
      </c>
      <c r="AO2" t="e">
        <f>AND('7th Grade Roster'!S11,"AAAAAHf3nCg=")</f>
        <v>#VALUE!</v>
      </c>
      <c r="AP2" t="e">
        <f>AND('7th Grade Roster'!T11,"AAAAAHf3nCk=")</f>
        <v>#VALUE!</v>
      </c>
      <c r="AQ2" t="e">
        <f>AND('7th Grade Roster'!U11,"AAAAAHf3nCo=")</f>
        <v>#VALUE!</v>
      </c>
      <c r="AR2" t="e">
        <f>AND('7th Grade Roster'!V11,"AAAAAHf3nCs=")</f>
        <v>#VALUE!</v>
      </c>
      <c r="AS2">
        <f>IF('7th Grade Roster'!12:12,"AAAAAHf3nCw=",0)</f>
        <v>0</v>
      </c>
      <c r="AT2" t="e">
        <f>AND('7th Grade Roster'!A12,"AAAAAHf3nC0=")</f>
        <v>#VALUE!</v>
      </c>
      <c r="AU2" t="e">
        <f>AND('7th Grade Roster'!B12,"AAAAAHf3nC4=")</f>
        <v>#VALUE!</v>
      </c>
      <c r="AV2" t="e">
        <f>AND('7th Grade Roster'!C12,"AAAAAHf3nC8=")</f>
        <v>#VALUE!</v>
      </c>
      <c r="AW2" t="e">
        <f>AND('7th Grade Roster'!D12,"AAAAAHf3nDA=")</f>
        <v>#VALUE!</v>
      </c>
      <c r="AX2" t="e">
        <f>AND('7th Grade Roster'!E12,"AAAAAHf3nDE=")</f>
        <v>#VALUE!</v>
      </c>
      <c r="AY2" t="e">
        <f>AND('7th Grade Roster'!F12,"AAAAAHf3nDI=")</f>
        <v>#VALUE!</v>
      </c>
      <c r="AZ2" t="e">
        <f>AND('7th Grade Roster'!G12,"AAAAAHf3nDM=")</f>
        <v>#VALUE!</v>
      </c>
      <c r="BA2" t="e">
        <f>AND('7th Grade Roster'!H12,"AAAAAHf3nDQ=")</f>
        <v>#VALUE!</v>
      </c>
      <c r="BB2" t="e">
        <f>AND('7th Grade Roster'!I12,"AAAAAHf3nDU=")</f>
        <v>#VALUE!</v>
      </c>
      <c r="BC2" t="e">
        <f>AND('7th Grade Roster'!J12,"AAAAAHf3nDY=")</f>
        <v>#VALUE!</v>
      </c>
      <c r="BD2" t="e">
        <f>AND('7th Grade Roster'!K12,"AAAAAHf3nDc=")</f>
        <v>#VALUE!</v>
      </c>
      <c r="BE2" t="e">
        <f>AND('7th Grade Roster'!L12,"AAAAAHf3nDg=")</f>
        <v>#VALUE!</v>
      </c>
      <c r="BF2" t="e">
        <f>AND('7th Grade Roster'!M12,"AAAAAHf3nDk=")</f>
        <v>#VALUE!</v>
      </c>
      <c r="BG2" t="e">
        <f>AND('7th Grade Roster'!N12,"AAAAAHf3nDo=")</f>
        <v>#VALUE!</v>
      </c>
      <c r="BH2" t="e">
        <f>AND('7th Grade Roster'!O12,"AAAAAHf3nDs=")</f>
        <v>#VALUE!</v>
      </c>
      <c r="BI2" t="e">
        <f>AND('7th Grade Roster'!S12,"AAAAAHf3nDw=")</f>
        <v>#VALUE!</v>
      </c>
      <c r="BJ2" t="e">
        <f>AND('7th Grade Roster'!T12,"AAAAAHf3nD0=")</f>
        <v>#VALUE!</v>
      </c>
      <c r="BK2" t="e">
        <f>AND('7th Grade Roster'!U12,"AAAAAHf3nD4=")</f>
        <v>#VALUE!</v>
      </c>
      <c r="BL2" t="e">
        <f>AND('7th Grade Roster'!V12,"AAAAAHf3nD8=")</f>
        <v>#VALUE!</v>
      </c>
      <c r="BM2">
        <f>IF('7th Grade Roster'!13:13,"AAAAAHf3nEA=",0)</f>
        <v>0</v>
      </c>
      <c r="BN2" t="e">
        <f>AND('7th Grade Roster'!A13,"AAAAAHf3nEE=")</f>
        <v>#VALUE!</v>
      </c>
      <c r="BO2" t="e">
        <f>AND('7th Grade Roster'!B13,"AAAAAHf3nEI=")</f>
        <v>#VALUE!</v>
      </c>
      <c r="BP2" t="e">
        <f>AND('7th Grade Roster'!C13,"AAAAAHf3nEM=")</f>
        <v>#VALUE!</v>
      </c>
      <c r="BQ2" t="e">
        <f>AND('7th Grade Roster'!D13,"AAAAAHf3nEQ=")</f>
        <v>#VALUE!</v>
      </c>
      <c r="BR2" t="e">
        <f>AND('7th Grade Roster'!E13,"AAAAAHf3nEU=")</f>
        <v>#VALUE!</v>
      </c>
      <c r="BS2" t="e">
        <f>AND('7th Grade Roster'!F13,"AAAAAHf3nEY=")</f>
        <v>#VALUE!</v>
      </c>
      <c r="BT2" t="e">
        <f>AND('7th Grade Roster'!G13,"AAAAAHf3nEc=")</f>
        <v>#VALUE!</v>
      </c>
      <c r="BU2" t="e">
        <f>AND('7th Grade Roster'!H13,"AAAAAHf3nEg=")</f>
        <v>#VALUE!</v>
      </c>
      <c r="BV2" t="e">
        <f>AND('7th Grade Roster'!I13,"AAAAAHf3nEk=")</f>
        <v>#VALUE!</v>
      </c>
      <c r="BW2" t="e">
        <f>AND('7th Grade Roster'!J13,"AAAAAHf3nEo=")</f>
        <v>#VALUE!</v>
      </c>
      <c r="BX2" t="e">
        <f>AND('7th Grade Roster'!K13,"AAAAAHf3nEs=")</f>
        <v>#VALUE!</v>
      </c>
      <c r="BY2" t="e">
        <f>AND('7th Grade Roster'!L13,"AAAAAHf3nEw=")</f>
        <v>#VALUE!</v>
      </c>
      <c r="BZ2" t="e">
        <f>AND('7th Grade Roster'!M13,"AAAAAHf3nE0=")</f>
        <v>#VALUE!</v>
      </c>
      <c r="CA2" t="e">
        <f>AND('7th Grade Roster'!N13,"AAAAAHf3nE4=")</f>
        <v>#VALUE!</v>
      </c>
      <c r="CB2" t="e">
        <f>AND('7th Grade Roster'!O13,"AAAAAHf3nE8=")</f>
        <v>#VALUE!</v>
      </c>
      <c r="CC2" t="e">
        <f>AND('7th Grade Roster'!S13,"AAAAAHf3nFA=")</f>
        <v>#VALUE!</v>
      </c>
      <c r="CD2" t="e">
        <f>AND('7th Grade Roster'!T13,"AAAAAHf3nFE=")</f>
        <v>#VALUE!</v>
      </c>
      <c r="CE2" t="e">
        <f>AND('7th Grade Roster'!U13,"AAAAAHf3nFI=")</f>
        <v>#VALUE!</v>
      </c>
      <c r="CF2" t="e">
        <f>AND('7th Grade Roster'!V13,"AAAAAHf3nFM=")</f>
        <v>#VALUE!</v>
      </c>
      <c r="CG2">
        <f>IF('7th Grade Roster'!14:14,"AAAAAHf3nFQ=",0)</f>
        <v>0</v>
      </c>
      <c r="CH2" t="e">
        <f>AND('7th Grade Roster'!A14,"AAAAAHf3nFU=")</f>
        <v>#VALUE!</v>
      </c>
      <c r="CI2" t="e">
        <f>AND('7th Grade Roster'!B14,"AAAAAHf3nFY=")</f>
        <v>#VALUE!</v>
      </c>
      <c r="CJ2" t="e">
        <f>AND('7th Grade Roster'!C14,"AAAAAHf3nFc=")</f>
        <v>#VALUE!</v>
      </c>
      <c r="CK2" t="e">
        <f>AND('7th Grade Roster'!D14,"AAAAAHf3nFg=")</f>
        <v>#VALUE!</v>
      </c>
      <c r="CL2" t="e">
        <f>AND('7th Grade Roster'!E14,"AAAAAHf3nFk=")</f>
        <v>#VALUE!</v>
      </c>
      <c r="CM2" t="e">
        <f>AND('7th Grade Roster'!F14,"AAAAAHf3nFo=")</f>
        <v>#VALUE!</v>
      </c>
      <c r="CN2" t="e">
        <f>AND('7th Grade Roster'!G14,"AAAAAHf3nFs=")</f>
        <v>#VALUE!</v>
      </c>
      <c r="CO2" t="e">
        <f>AND('7th Grade Roster'!H14,"AAAAAHf3nFw=")</f>
        <v>#VALUE!</v>
      </c>
      <c r="CP2" t="e">
        <f>AND('7th Grade Roster'!I14,"AAAAAHf3nF0=")</f>
        <v>#VALUE!</v>
      </c>
      <c r="CQ2" t="e">
        <f>AND('7th Grade Roster'!J14,"AAAAAHf3nF4=")</f>
        <v>#VALUE!</v>
      </c>
      <c r="CR2" t="e">
        <f>AND('7th Grade Roster'!K14,"AAAAAHf3nF8=")</f>
        <v>#VALUE!</v>
      </c>
      <c r="CS2" t="e">
        <f>AND('7th Grade Roster'!L14,"AAAAAHf3nGA=")</f>
        <v>#VALUE!</v>
      </c>
      <c r="CT2" t="e">
        <f>AND('7th Grade Roster'!M14,"AAAAAHf3nGE=")</f>
        <v>#VALUE!</v>
      </c>
      <c r="CU2" t="e">
        <f>AND('7th Grade Roster'!N14,"AAAAAHf3nGI=")</f>
        <v>#VALUE!</v>
      </c>
      <c r="CV2" t="e">
        <f>AND('7th Grade Roster'!O14,"AAAAAHf3nGM=")</f>
        <v>#VALUE!</v>
      </c>
      <c r="CW2" t="e">
        <f>AND('7th Grade Roster'!S14,"AAAAAHf3nGQ=")</f>
        <v>#VALUE!</v>
      </c>
      <c r="CX2" t="e">
        <f>AND('7th Grade Roster'!T14,"AAAAAHf3nGU=")</f>
        <v>#VALUE!</v>
      </c>
      <c r="CY2" t="e">
        <f>AND('7th Grade Roster'!U14,"AAAAAHf3nGY=")</f>
        <v>#VALUE!</v>
      </c>
      <c r="CZ2" t="e">
        <f>AND('7th Grade Roster'!V14,"AAAAAHf3nGc=")</f>
        <v>#VALUE!</v>
      </c>
      <c r="DA2">
        <f>IF('7th Grade Roster'!15:15,"AAAAAHf3nGg=",0)</f>
        <v>0</v>
      </c>
      <c r="DB2" t="e">
        <f>AND('7th Grade Roster'!A15,"AAAAAHf3nGk=")</f>
        <v>#VALUE!</v>
      </c>
      <c r="DC2" t="e">
        <f>AND('7th Grade Roster'!B15,"AAAAAHf3nGo=")</f>
        <v>#VALUE!</v>
      </c>
      <c r="DD2" t="e">
        <f>AND('7th Grade Roster'!C15,"AAAAAHf3nGs=")</f>
        <v>#VALUE!</v>
      </c>
      <c r="DE2" t="e">
        <f>AND('7th Grade Roster'!D15,"AAAAAHf3nGw=")</f>
        <v>#VALUE!</v>
      </c>
      <c r="DF2" t="e">
        <f>AND('7th Grade Roster'!E15,"AAAAAHf3nG0=")</f>
        <v>#VALUE!</v>
      </c>
      <c r="DG2" t="e">
        <f>AND('7th Grade Roster'!F15,"AAAAAHf3nG4=")</f>
        <v>#VALUE!</v>
      </c>
      <c r="DH2" t="e">
        <f>AND('7th Grade Roster'!G15,"AAAAAHf3nG8=")</f>
        <v>#VALUE!</v>
      </c>
      <c r="DI2" t="e">
        <f>AND('7th Grade Roster'!H15,"AAAAAHf3nHA=")</f>
        <v>#VALUE!</v>
      </c>
      <c r="DJ2" t="e">
        <f>AND('7th Grade Roster'!I15,"AAAAAHf3nHE=")</f>
        <v>#VALUE!</v>
      </c>
      <c r="DK2" t="e">
        <f>AND('7th Grade Roster'!J15,"AAAAAHf3nHI=")</f>
        <v>#VALUE!</v>
      </c>
      <c r="DL2" t="e">
        <f>AND('7th Grade Roster'!K15,"AAAAAHf3nHM=")</f>
        <v>#VALUE!</v>
      </c>
      <c r="DM2" t="e">
        <f>AND('7th Grade Roster'!L15,"AAAAAHf3nHQ=")</f>
        <v>#VALUE!</v>
      </c>
      <c r="DN2" t="e">
        <f>AND('7th Grade Roster'!M15,"AAAAAHf3nHU=")</f>
        <v>#VALUE!</v>
      </c>
      <c r="DO2" t="e">
        <f>AND('7th Grade Roster'!N15,"AAAAAHf3nHY=")</f>
        <v>#VALUE!</v>
      </c>
      <c r="DP2" t="e">
        <f>AND('7th Grade Roster'!O15,"AAAAAHf3nHc=")</f>
        <v>#VALUE!</v>
      </c>
      <c r="DQ2" t="e">
        <f>AND('7th Grade Roster'!S15,"AAAAAHf3nHg=")</f>
        <v>#VALUE!</v>
      </c>
      <c r="DR2" t="e">
        <f>AND('7th Grade Roster'!T15,"AAAAAHf3nHk=")</f>
        <v>#VALUE!</v>
      </c>
      <c r="DS2" t="e">
        <f>AND('7th Grade Roster'!U15,"AAAAAHf3nHo=")</f>
        <v>#VALUE!</v>
      </c>
      <c r="DT2" t="e">
        <f>AND('7th Grade Roster'!V15,"AAAAAHf3nHs=")</f>
        <v>#VALUE!</v>
      </c>
      <c r="DU2">
        <f>IF('7th Grade Roster'!16:16,"AAAAAHf3nHw=",0)</f>
        <v>0</v>
      </c>
      <c r="DV2" t="e">
        <f>AND('7th Grade Roster'!A16,"AAAAAHf3nH0=")</f>
        <v>#VALUE!</v>
      </c>
      <c r="DW2" t="e">
        <f>AND('7th Grade Roster'!B16,"AAAAAHf3nH4=")</f>
        <v>#VALUE!</v>
      </c>
      <c r="DX2" t="e">
        <f>AND('7th Grade Roster'!C16,"AAAAAHf3nH8=")</f>
        <v>#VALUE!</v>
      </c>
      <c r="DY2" t="e">
        <f>AND('7th Grade Roster'!D16,"AAAAAHf3nIA=")</f>
        <v>#VALUE!</v>
      </c>
      <c r="DZ2" t="e">
        <f>AND('7th Grade Roster'!E16,"AAAAAHf3nIE=")</f>
        <v>#VALUE!</v>
      </c>
      <c r="EA2" t="e">
        <f>AND('7th Grade Roster'!F16,"AAAAAHf3nII=")</f>
        <v>#VALUE!</v>
      </c>
      <c r="EB2" t="e">
        <f>AND('7th Grade Roster'!G16,"AAAAAHf3nIM=")</f>
        <v>#VALUE!</v>
      </c>
      <c r="EC2" t="e">
        <f>AND('7th Grade Roster'!H16,"AAAAAHf3nIQ=")</f>
        <v>#VALUE!</v>
      </c>
      <c r="ED2" t="e">
        <f>AND('7th Grade Roster'!I16,"AAAAAHf3nIU=")</f>
        <v>#VALUE!</v>
      </c>
      <c r="EE2" t="e">
        <f>AND('7th Grade Roster'!J16,"AAAAAHf3nIY=")</f>
        <v>#VALUE!</v>
      </c>
      <c r="EF2" t="e">
        <f>AND('7th Grade Roster'!K16,"AAAAAHf3nIc=")</f>
        <v>#VALUE!</v>
      </c>
      <c r="EG2" t="e">
        <f>AND('7th Grade Roster'!L16,"AAAAAHf3nIg=")</f>
        <v>#VALUE!</v>
      </c>
      <c r="EH2" t="e">
        <f>AND('7th Grade Roster'!M16,"AAAAAHf3nIk=")</f>
        <v>#VALUE!</v>
      </c>
      <c r="EI2" t="e">
        <f>AND('7th Grade Roster'!N16,"AAAAAHf3nIo=")</f>
        <v>#VALUE!</v>
      </c>
      <c r="EJ2" t="e">
        <f>AND('7th Grade Roster'!O16,"AAAAAHf3nIs=")</f>
        <v>#VALUE!</v>
      </c>
      <c r="EK2" t="e">
        <f>AND('7th Grade Roster'!S16,"AAAAAHf3nIw=")</f>
        <v>#VALUE!</v>
      </c>
      <c r="EL2" t="e">
        <f>AND('7th Grade Roster'!T16,"AAAAAHf3nI0=")</f>
        <v>#VALUE!</v>
      </c>
      <c r="EM2" t="e">
        <f>AND('7th Grade Roster'!U16,"AAAAAHf3nI4=")</f>
        <v>#VALUE!</v>
      </c>
      <c r="EN2" t="e">
        <f>AND('7th Grade Roster'!V16,"AAAAAHf3nI8=")</f>
        <v>#VALUE!</v>
      </c>
      <c r="EO2">
        <f>IF('7th Grade Roster'!17:17,"AAAAAHf3nJA=",0)</f>
        <v>0</v>
      </c>
      <c r="EP2" t="e">
        <f>AND('7th Grade Roster'!A17,"AAAAAHf3nJE=")</f>
        <v>#VALUE!</v>
      </c>
      <c r="EQ2" t="e">
        <f>AND('7th Grade Roster'!B17,"AAAAAHf3nJI=")</f>
        <v>#VALUE!</v>
      </c>
      <c r="ER2" t="e">
        <f>AND('7th Grade Roster'!C17,"AAAAAHf3nJM=")</f>
        <v>#VALUE!</v>
      </c>
      <c r="ES2" t="e">
        <f>AND('7th Grade Roster'!D17,"AAAAAHf3nJQ=")</f>
        <v>#VALUE!</v>
      </c>
      <c r="ET2" t="e">
        <f>AND('7th Grade Roster'!E17,"AAAAAHf3nJU=")</f>
        <v>#VALUE!</v>
      </c>
      <c r="EU2" t="e">
        <f>AND('7th Grade Roster'!F17,"AAAAAHf3nJY=")</f>
        <v>#VALUE!</v>
      </c>
      <c r="EV2" t="e">
        <f>AND('7th Grade Roster'!G17,"AAAAAHf3nJc=")</f>
        <v>#VALUE!</v>
      </c>
      <c r="EW2" t="e">
        <f>AND('7th Grade Roster'!H17,"AAAAAHf3nJg=")</f>
        <v>#VALUE!</v>
      </c>
      <c r="EX2" t="e">
        <f>AND('7th Grade Roster'!I17,"AAAAAHf3nJk=")</f>
        <v>#VALUE!</v>
      </c>
      <c r="EY2" t="e">
        <f>AND('7th Grade Roster'!J17,"AAAAAHf3nJo=")</f>
        <v>#VALUE!</v>
      </c>
      <c r="EZ2" t="e">
        <f>AND('7th Grade Roster'!K17,"AAAAAHf3nJs=")</f>
        <v>#VALUE!</v>
      </c>
      <c r="FA2" t="e">
        <f>AND('7th Grade Roster'!L17,"AAAAAHf3nJw=")</f>
        <v>#VALUE!</v>
      </c>
      <c r="FB2" t="e">
        <f>AND('7th Grade Roster'!M17,"AAAAAHf3nJ0=")</f>
        <v>#VALUE!</v>
      </c>
      <c r="FC2" t="e">
        <f>AND('7th Grade Roster'!N17,"AAAAAHf3nJ4=")</f>
        <v>#VALUE!</v>
      </c>
      <c r="FD2" t="e">
        <f>AND('7th Grade Roster'!O17,"AAAAAHf3nJ8=")</f>
        <v>#VALUE!</v>
      </c>
      <c r="FE2" t="e">
        <f>AND('7th Grade Roster'!S17,"AAAAAHf3nKA=")</f>
        <v>#VALUE!</v>
      </c>
      <c r="FF2" t="e">
        <f>AND('7th Grade Roster'!T17,"AAAAAHf3nKE=")</f>
        <v>#VALUE!</v>
      </c>
      <c r="FG2" t="e">
        <f>AND('7th Grade Roster'!U17,"AAAAAHf3nKI=")</f>
        <v>#VALUE!</v>
      </c>
      <c r="FH2" t="e">
        <f>AND('7th Grade Roster'!V17,"AAAAAHf3nKM=")</f>
        <v>#VALUE!</v>
      </c>
      <c r="FI2">
        <f>IF('7th Grade Roster'!18:18,"AAAAAHf3nKQ=",0)</f>
        <v>0</v>
      </c>
      <c r="FJ2" t="e">
        <f>AND('7th Grade Roster'!A18,"AAAAAHf3nKU=")</f>
        <v>#VALUE!</v>
      </c>
      <c r="FK2" t="e">
        <f>AND('7th Grade Roster'!B18,"AAAAAHf3nKY=")</f>
        <v>#VALUE!</v>
      </c>
      <c r="FL2" t="e">
        <f>AND('7th Grade Roster'!C18,"AAAAAHf3nKc=")</f>
        <v>#VALUE!</v>
      </c>
      <c r="FM2" t="e">
        <f>AND('7th Grade Roster'!D18,"AAAAAHf3nKg=")</f>
        <v>#VALUE!</v>
      </c>
      <c r="FN2" t="e">
        <f>AND('7th Grade Roster'!E18,"AAAAAHf3nKk=")</f>
        <v>#VALUE!</v>
      </c>
      <c r="FO2" t="e">
        <f>AND('7th Grade Roster'!F18,"AAAAAHf3nKo=")</f>
        <v>#VALUE!</v>
      </c>
      <c r="FP2" t="e">
        <f>AND('7th Grade Roster'!G18,"AAAAAHf3nKs=")</f>
        <v>#VALUE!</v>
      </c>
      <c r="FQ2" t="e">
        <f>AND('7th Grade Roster'!H18,"AAAAAHf3nKw=")</f>
        <v>#VALUE!</v>
      </c>
      <c r="FR2" t="e">
        <f>AND('7th Grade Roster'!I18,"AAAAAHf3nK0=")</f>
        <v>#VALUE!</v>
      </c>
      <c r="FS2" t="e">
        <f>AND('7th Grade Roster'!J18,"AAAAAHf3nK4=")</f>
        <v>#VALUE!</v>
      </c>
      <c r="FT2" t="e">
        <f>AND('7th Grade Roster'!K18,"AAAAAHf3nK8=")</f>
        <v>#VALUE!</v>
      </c>
      <c r="FU2" t="e">
        <f>AND('7th Grade Roster'!L18,"AAAAAHf3nLA=")</f>
        <v>#VALUE!</v>
      </c>
      <c r="FV2" t="e">
        <f>AND('7th Grade Roster'!M18,"AAAAAHf3nLE=")</f>
        <v>#VALUE!</v>
      </c>
      <c r="FW2" t="e">
        <f>AND('7th Grade Roster'!N18,"AAAAAHf3nLI=")</f>
        <v>#VALUE!</v>
      </c>
      <c r="FX2" t="e">
        <f>AND('7th Grade Roster'!O18,"AAAAAHf3nLM=")</f>
        <v>#VALUE!</v>
      </c>
      <c r="FY2" t="e">
        <f>AND('7th Grade Roster'!S18,"AAAAAHf3nLQ=")</f>
        <v>#VALUE!</v>
      </c>
      <c r="FZ2" t="e">
        <f>AND('7th Grade Roster'!T18,"AAAAAHf3nLU=")</f>
        <v>#VALUE!</v>
      </c>
      <c r="GA2" t="e">
        <f>AND('7th Grade Roster'!U18,"AAAAAHf3nLY=")</f>
        <v>#VALUE!</v>
      </c>
      <c r="GB2" t="e">
        <f>AND('7th Grade Roster'!V18,"AAAAAHf3nLc=")</f>
        <v>#VALUE!</v>
      </c>
      <c r="GC2">
        <f>IF('7th Grade Roster'!19:19,"AAAAAHf3nLg=",0)</f>
        <v>0</v>
      </c>
      <c r="GD2" t="e">
        <f>AND('7th Grade Roster'!A19,"AAAAAHf3nLk=")</f>
        <v>#VALUE!</v>
      </c>
      <c r="GE2" t="e">
        <f>AND('7th Grade Roster'!B19,"AAAAAHf3nLo=")</f>
        <v>#VALUE!</v>
      </c>
      <c r="GF2" t="e">
        <f>AND('7th Grade Roster'!C19,"AAAAAHf3nLs=")</f>
        <v>#VALUE!</v>
      </c>
      <c r="GG2" t="e">
        <f>AND('7th Grade Roster'!D19,"AAAAAHf3nLw=")</f>
        <v>#VALUE!</v>
      </c>
      <c r="GH2" t="e">
        <f>AND('7th Grade Roster'!E19,"AAAAAHf3nL0=")</f>
        <v>#VALUE!</v>
      </c>
      <c r="GI2" t="e">
        <f>AND('7th Grade Roster'!F19,"AAAAAHf3nL4=")</f>
        <v>#VALUE!</v>
      </c>
      <c r="GJ2" t="e">
        <f>AND('7th Grade Roster'!G19,"AAAAAHf3nL8=")</f>
        <v>#VALUE!</v>
      </c>
      <c r="GK2" t="e">
        <f>AND('7th Grade Roster'!H19,"AAAAAHf3nMA=")</f>
        <v>#VALUE!</v>
      </c>
      <c r="GL2" t="e">
        <f>AND('7th Grade Roster'!I19,"AAAAAHf3nME=")</f>
        <v>#VALUE!</v>
      </c>
      <c r="GM2" t="e">
        <f>AND('7th Grade Roster'!J19,"AAAAAHf3nMI=")</f>
        <v>#VALUE!</v>
      </c>
      <c r="GN2" t="e">
        <f>AND('7th Grade Roster'!K19,"AAAAAHf3nMM=")</f>
        <v>#VALUE!</v>
      </c>
      <c r="GO2" t="e">
        <f>AND('7th Grade Roster'!L19,"AAAAAHf3nMQ=")</f>
        <v>#VALUE!</v>
      </c>
      <c r="GP2" t="e">
        <f>AND('7th Grade Roster'!M19,"AAAAAHf3nMU=")</f>
        <v>#VALUE!</v>
      </c>
      <c r="GQ2" t="e">
        <f>AND('7th Grade Roster'!N19,"AAAAAHf3nMY=")</f>
        <v>#VALUE!</v>
      </c>
      <c r="GR2" t="e">
        <f>AND('7th Grade Roster'!O19,"AAAAAHf3nMc=")</f>
        <v>#VALUE!</v>
      </c>
      <c r="GS2" t="e">
        <f>AND('7th Grade Roster'!S19,"AAAAAHf3nMg=")</f>
        <v>#VALUE!</v>
      </c>
      <c r="GT2" t="e">
        <f>AND('7th Grade Roster'!T19,"AAAAAHf3nMk=")</f>
        <v>#VALUE!</v>
      </c>
      <c r="GU2" t="e">
        <f>AND('7th Grade Roster'!U19,"AAAAAHf3nMo=")</f>
        <v>#VALUE!</v>
      </c>
      <c r="GV2" t="e">
        <f>AND('7th Grade Roster'!V19,"AAAAAHf3nMs=")</f>
        <v>#VALUE!</v>
      </c>
      <c r="GW2">
        <f>IF('7th Grade Roster'!20:20,"AAAAAHf3nMw=",0)</f>
        <v>0</v>
      </c>
      <c r="GX2" t="e">
        <f>AND('7th Grade Roster'!A20,"AAAAAHf3nM0=")</f>
        <v>#VALUE!</v>
      </c>
      <c r="GY2" t="e">
        <f>AND('7th Grade Roster'!B20,"AAAAAHf3nM4=")</f>
        <v>#VALUE!</v>
      </c>
      <c r="GZ2" t="e">
        <f>AND('7th Grade Roster'!C20,"AAAAAHf3nM8=")</f>
        <v>#VALUE!</v>
      </c>
      <c r="HA2" t="e">
        <f>AND('7th Grade Roster'!D20,"AAAAAHf3nNA=")</f>
        <v>#VALUE!</v>
      </c>
      <c r="HB2" t="e">
        <f>AND('7th Grade Roster'!E20,"AAAAAHf3nNE=")</f>
        <v>#VALUE!</v>
      </c>
      <c r="HC2" t="e">
        <f>AND('7th Grade Roster'!F20,"AAAAAHf3nNI=")</f>
        <v>#VALUE!</v>
      </c>
      <c r="HD2" t="e">
        <f>AND('7th Grade Roster'!G20,"AAAAAHf3nNM=")</f>
        <v>#VALUE!</v>
      </c>
      <c r="HE2" t="e">
        <f>AND('7th Grade Roster'!H20,"AAAAAHf3nNQ=")</f>
        <v>#VALUE!</v>
      </c>
      <c r="HF2" t="e">
        <f>AND('7th Grade Roster'!I20,"AAAAAHf3nNU=")</f>
        <v>#VALUE!</v>
      </c>
      <c r="HG2" t="e">
        <f>AND('7th Grade Roster'!J20,"AAAAAHf3nNY=")</f>
        <v>#VALUE!</v>
      </c>
      <c r="HH2" t="e">
        <f>AND('7th Grade Roster'!K20,"AAAAAHf3nNc=")</f>
        <v>#VALUE!</v>
      </c>
      <c r="HI2" t="e">
        <f>AND('7th Grade Roster'!L20,"AAAAAHf3nNg=")</f>
        <v>#VALUE!</v>
      </c>
      <c r="HJ2" t="e">
        <f>AND('7th Grade Roster'!M20,"AAAAAHf3nNk=")</f>
        <v>#VALUE!</v>
      </c>
      <c r="HK2" t="e">
        <f>AND('7th Grade Roster'!N20,"AAAAAHf3nNo=")</f>
        <v>#VALUE!</v>
      </c>
      <c r="HL2" t="e">
        <f>AND('7th Grade Roster'!O20,"AAAAAHf3nNs=")</f>
        <v>#VALUE!</v>
      </c>
      <c r="HM2" t="e">
        <f>AND('7th Grade Roster'!S20,"AAAAAHf3nNw=")</f>
        <v>#VALUE!</v>
      </c>
      <c r="HN2" t="e">
        <f>AND('7th Grade Roster'!T20,"AAAAAHf3nN0=")</f>
        <v>#VALUE!</v>
      </c>
      <c r="HO2" t="e">
        <f>AND('7th Grade Roster'!U20,"AAAAAHf3nN4=")</f>
        <v>#VALUE!</v>
      </c>
      <c r="HP2" t="e">
        <f>AND('7th Grade Roster'!V20,"AAAAAHf3nN8=")</f>
        <v>#VALUE!</v>
      </c>
      <c r="HQ2">
        <f>IF('7th Grade Roster'!21:21,"AAAAAHf3nOA=",0)</f>
        <v>0</v>
      </c>
      <c r="HR2" t="e">
        <f>AND('7th Grade Roster'!A21,"AAAAAHf3nOE=")</f>
        <v>#VALUE!</v>
      </c>
      <c r="HS2" t="e">
        <f>AND('7th Grade Roster'!B21,"AAAAAHf3nOI=")</f>
        <v>#VALUE!</v>
      </c>
      <c r="HT2" t="e">
        <f>AND('7th Grade Roster'!C21,"AAAAAHf3nOM=")</f>
        <v>#VALUE!</v>
      </c>
      <c r="HU2" t="e">
        <f>AND('7th Grade Roster'!D21,"AAAAAHf3nOQ=")</f>
        <v>#VALUE!</v>
      </c>
      <c r="HV2" t="e">
        <f>AND('7th Grade Roster'!E21,"AAAAAHf3nOU=")</f>
        <v>#VALUE!</v>
      </c>
      <c r="HW2" t="e">
        <f>AND('7th Grade Roster'!F21,"AAAAAHf3nOY=")</f>
        <v>#VALUE!</v>
      </c>
      <c r="HX2" t="e">
        <f>AND('7th Grade Roster'!G21,"AAAAAHf3nOc=")</f>
        <v>#VALUE!</v>
      </c>
      <c r="HY2" t="e">
        <f>AND('7th Grade Roster'!H21,"AAAAAHf3nOg=")</f>
        <v>#VALUE!</v>
      </c>
      <c r="HZ2" t="e">
        <f>AND('7th Grade Roster'!I21,"AAAAAHf3nOk=")</f>
        <v>#VALUE!</v>
      </c>
      <c r="IA2" t="e">
        <f>AND('7th Grade Roster'!J21,"AAAAAHf3nOo=")</f>
        <v>#VALUE!</v>
      </c>
      <c r="IB2" t="e">
        <f>AND('7th Grade Roster'!K21,"AAAAAHf3nOs=")</f>
        <v>#VALUE!</v>
      </c>
      <c r="IC2" t="e">
        <f>AND('7th Grade Roster'!L21,"AAAAAHf3nOw=")</f>
        <v>#VALUE!</v>
      </c>
      <c r="ID2" t="e">
        <f>AND('7th Grade Roster'!M21,"AAAAAHf3nO0=")</f>
        <v>#VALUE!</v>
      </c>
      <c r="IE2" t="e">
        <f>AND('7th Grade Roster'!N21,"AAAAAHf3nO4=")</f>
        <v>#VALUE!</v>
      </c>
      <c r="IF2" t="e">
        <f>AND('7th Grade Roster'!O21,"AAAAAHf3nO8=")</f>
        <v>#VALUE!</v>
      </c>
      <c r="IG2" t="e">
        <f>AND('7th Grade Roster'!S21,"AAAAAHf3nPA=")</f>
        <v>#VALUE!</v>
      </c>
      <c r="IH2" t="e">
        <f>AND('7th Grade Roster'!T21,"AAAAAHf3nPE=")</f>
        <v>#VALUE!</v>
      </c>
      <c r="II2" t="e">
        <f>AND('7th Grade Roster'!U21,"AAAAAHf3nPI=")</f>
        <v>#VALUE!</v>
      </c>
      <c r="IJ2" t="e">
        <f>AND('7th Grade Roster'!V21,"AAAAAHf3nPM=")</f>
        <v>#VALUE!</v>
      </c>
      <c r="IK2">
        <f>IF('7th Grade Roster'!22:22,"AAAAAHf3nPQ=",0)</f>
        <v>0</v>
      </c>
      <c r="IL2" t="e">
        <f>AND('7th Grade Roster'!A22,"AAAAAHf3nPU=")</f>
        <v>#VALUE!</v>
      </c>
      <c r="IM2" t="e">
        <f>AND('7th Grade Roster'!B22,"AAAAAHf3nPY=")</f>
        <v>#VALUE!</v>
      </c>
      <c r="IN2" t="e">
        <f>AND('7th Grade Roster'!C22,"AAAAAHf3nPc=")</f>
        <v>#VALUE!</v>
      </c>
      <c r="IO2" t="e">
        <f>AND('7th Grade Roster'!D22,"AAAAAHf3nPg=")</f>
        <v>#VALUE!</v>
      </c>
      <c r="IP2" t="e">
        <f>AND('7th Grade Roster'!E22,"AAAAAHf3nPk=")</f>
        <v>#VALUE!</v>
      </c>
      <c r="IQ2" t="e">
        <f>AND('7th Grade Roster'!F22,"AAAAAHf3nPo=")</f>
        <v>#VALUE!</v>
      </c>
      <c r="IR2" t="e">
        <f>AND('7th Grade Roster'!G22,"AAAAAHf3nPs=")</f>
        <v>#VALUE!</v>
      </c>
      <c r="IS2" t="e">
        <f>AND('7th Grade Roster'!H22,"AAAAAHf3nPw=")</f>
        <v>#VALUE!</v>
      </c>
      <c r="IT2" t="e">
        <f>AND('7th Grade Roster'!I22,"AAAAAHf3nP0=")</f>
        <v>#VALUE!</v>
      </c>
      <c r="IU2" t="e">
        <f>AND('7th Grade Roster'!J22,"AAAAAHf3nP4=")</f>
        <v>#VALUE!</v>
      </c>
      <c r="IV2" t="e">
        <f>AND('7th Grade Roster'!K22,"AAAAAHf3nP8=")</f>
        <v>#VALUE!</v>
      </c>
    </row>
    <row r="3" spans="1:256" x14ac:dyDescent="0.2">
      <c r="A3" t="e">
        <f>AND('7th Grade Roster'!L22,"AAAAAG///gA=")</f>
        <v>#VALUE!</v>
      </c>
      <c r="B3" t="e">
        <f>AND('7th Grade Roster'!M22,"AAAAAG///gE=")</f>
        <v>#VALUE!</v>
      </c>
      <c r="C3" t="e">
        <f>AND('7th Grade Roster'!N22,"AAAAAG///gI=")</f>
        <v>#VALUE!</v>
      </c>
      <c r="D3" t="e">
        <f>AND('7th Grade Roster'!O22,"AAAAAG///gM=")</f>
        <v>#VALUE!</v>
      </c>
      <c r="E3" t="e">
        <f>AND('7th Grade Roster'!S22,"AAAAAG///gQ=")</f>
        <v>#VALUE!</v>
      </c>
      <c r="F3" t="e">
        <f>AND('7th Grade Roster'!T22,"AAAAAG///gU=")</f>
        <v>#VALUE!</v>
      </c>
      <c r="G3" t="e">
        <f>AND('7th Grade Roster'!U22,"AAAAAG///gY=")</f>
        <v>#VALUE!</v>
      </c>
      <c r="H3" t="e">
        <f>AND('7th Grade Roster'!V22,"AAAAAG///gc=")</f>
        <v>#VALUE!</v>
      </c>
      <c r="I3">
        <f>IF('7th Grade Roster'!23:23,"AAAAAG///gg=",0)</f>
        <v>0</v>
      </c>
      <c r="J3" t="e">
        <f>AND('7th Grade Roster'!A23,"AAAAAG///gk=")</f>
        <v>#VALUE!</v>
      </c>
      <c r="K3" t="e">
        <f>AND('7th Grade Roster'!B23,"AAAAAG///go=")</f>
        <v>#VALUE!</v>
      </c>
      <c r="L3" t="e">
        <f>AND('7th Grade Roster'!C23,"AAAAAG///gs=")</f>
        <v>#VALUE!</v>
      </c>
      <c r="M3" t="e">
        <f>AND('7th Grade Roster'!D23,"AAAAAG///gw=")</f>
        <v>#VALUE!</v>
      </c>
      <c r="N3" t="e">
        <f>AND('7th Grade Roster'!E23,"AAAAAG///g0=")</f>
        <v>#VALUE!</v>
      </c>
      <c r="O3" t="e">
        <f>AND('7th Grade Roster'!F23,"AAAAAG///g4=")</f>
        <v>#VALUE!</v>
      </c>
      <c r="P3" t="e">
        <f>AND('7th Grade Roster'!G23,"AAAAAG///g8=")</f>
        <v>#VALUE!</v>
      </c>
      <c r="Q3" t="e">
        <f>AND('7th Grade Roster'!H23,"AAAAAG///hA=")</f>
        <v>#VALUE!</v>
      </c>
      <c r="R3" t="e">
        <f>AND('7th Grade Roster'!I23,"AAAAAG///hE=")</f>
        <v>#VALUE!</v>
      </c>
      <c r="S3" t="e">
        <f>AND('7th Grade Roster'!J23,"AAAAAG///hI=")</f>
        <v>#VALUE!</v>
      </c>
      <c r="T3" t="e">
        <f>AND('7th Grade Roster'!K23,"AAAAAG///hM=")</f>
        <v>#VALUE!</v>
      </c>
      <c r="U3" t="e">
        <f>AND('7th Grade Roster'!L23,"AAAAAG///hQ=")</f>
        <v>#VALUE!</v>
      </c>
      <c r="V3" t="e">
        <f>AND('7th Grade Roster'!M23,"AAAAAG///hU=")</f>
        <v>#VALUE!</v>
      </c>
      <c r="W3" t="e">
        <f>AND('7th Grade Roster'!N23,"AAAAAG///hY=")</f>
        <v>#VALUE!</v>
      </c>
      <c r="X3" t="e">
        <f>AND('7th Grade Roster'!O23,"AAAAAG///hc=")</f>
        <v>#VALUE!</v>
      </c>
      <c r="Y3" t="e">
        <f>AND('7th Grade Roster'!S23,"AAAAAG///hg=")</f>
        <v>#VALUE!</v>
      </c>
      <c r="Z3" t="e">
        <f>AND('7th Grade Roster'!T23,"AAAAAG///hk=")</f>
        <v>#VALUE!</v>
      </c>
      <c r="AA3" t="e">
        <f>AND('7th Grade Roster'!U23,"AAAAAG///ho=")</f>
        <v>#VALUE!</v>
      </c>
      <c r="AB3" t="e">
        <f>AND('7th Grade Roster'!V23,"AAAAAG///hs=")</f>
        <v>#VALUE!</v>
      </c>
      <c r="AC3">
        <f>IF('7th Grade Roster'!24:24,"AAAAAG///hw=",0)</f>
        <v>0</v>
      </c>
      <c r="AD3" t="e">
        <f>AND('7th Grade Roster'!A24,"AAAAAG///h0=")</f>
        <v>#VALUE!</v>
      </c>
      <c r="AE3" t="e">
        <f>AND('7th Grade Roster'!B24,"AAAAAG///h4=")</f>
        <v>#VALUE!</v>
      </c>
      <c r="AF3" t="e">
        <f>AND('7th Grade Roster'!C24,"AAAAAG///h8=")</f>
        <v>#VALUE!</v>
      </c>
      <c r="AG3" t="e">
        <f>AND('7th Grade Roster'!D24,"AAAAAG///iA=")</f>
        <v>#VALUE!</v>
      </c>
      <c r="AH3" t="e">
        <f>AND('7th Grade Roster'!E24,"AAAAAG///iE=")</f>
        <v>#VALUE!</v>
      </c>
      <c r="AI3" t="e">
        <f>AND('7th Grade Roster'!F24,"AAAAAG///iI=")</f>
        <v>#VALUE!</v>
      </c>
      <c r="AJ3" t="e">
        <f>AND('7th Grade Roster'!G24,"AAAAAG///iM=")</f>
        <v>#VALUE!</v>
      </c>
      <c r="AK3" t="e">
        <f>AND('7th Grade Roster'!H24,"AAAAAG///iQ=")</f>
        <v>#VALUE!</v>
      </c>
      <c r="AL3" t="e">
        <f>AND('7th Grade Roster'!I24,"AAAAAG///iU=")</f>
        <v>#VALUE!</v>
      </c>
      <c r="AM3" t="e">
        <f>AND('7th Grade Roster'!J24,"AAAAAG///iY=")</f>
        <v>#VALUE!</v>
      </c>
      <c r="AN3" t="e">
        <f>AND('7th Grade Roster'!K24,"AAAAAG///ic=")</f>
        <v>#VALUE!</v>
      </c>
      <c r="AO3" t="e">
        <f>AND('7th Grade Roster'!L24,"AAAAAG///ig=")</f>
        <v>#VALUE!</v>
      </c>
      <c r="AP3" t="e">
        <f>AND('7th Grade Roster'!M24,"AAAAAG///ik=")</f>
        <v>#VALUE!</v>
      </c>
      <c r="AQ3" t="e">
        <f>AND('7th Grade Roster'!N24,"AAAAAG///io=")</f>
        <v>#VALUE!</v>
      </c>
      <c r="AR3" t="e">
        <f>AND('7th Grade Roster'!O24,"AAAAAG///is=")</f>
        <v>#VALUE!</v>
      </c>
      <c r="AS3" t="e">
        <f>AND('7th Grade Roster'!S24,"AAAAAG///iw=")</f>
        <v>#VALUE!</v>
      </c>
      <c r="AT3" t="e">
        <f>AND('7th Grade Roster'!T24,"AAAAAG///i0=")</f>
        <v>#VALUE!</v>
      </c>
      <c r="AU3" t="e">
        <f>AND('7th Grade Roster'!U24,"AAAAAG///i4=")</f>
        <v>#VALUE!</v>
      </c>
      <c r="AV3" t="e">
        <f>AND('7th Grade Roster'!V24,"AAAAAG///i8=")</f>
        <v>#VALUE!</v>
      </c>
      <c r="AW3">
        <f>IF('7th Grade Roster'!25:25,"AAAAAG///jA=",0)</f>
        <v>0</v>
      </c>
      <c r="AX3" t="e">
        <f>AND('7th Grade Roster'!A25,"AAAAAG///jE=")</f>
        <v>#VALUE!</v>
      </c>
      <c r="AY3" t="e">
        <f>AND('7th Grade Roster'!B25,"AAAAAG///jI=")</f>
        <v>#VALUE!</v>
      </c>
      <c r="AZ3" t="e">
        <f>AND('7th Grade Roster'!C25,"AAAAAG///jM=")</f>
        <v>#VALUE!</v>
      </c>
      <c r="BA3" t="e">
        <f>AND('7th Grade Roster'!D25,"AAAAAG///jQ=")</f>
        <v>#VALUE!</v>
      </c>
      <c r="BB3" t="e">
        <f>AND('7th Grade Roster'!E25,"AAAAAG///jU=")</f>
        <v>#VALUE!</v>
      </c>
      <c r="BC3" t="e">
        <f>AND('7th Grade Roster'!F25,"AAAAAG///jY=")</f>
        <v>#VALUE!</v>
      </c>
      <c r="BD3" t="e">
        <f>AND('7th Grade Roster'!G25,"AAAAAG///jc=")</f>
        <v>#VALUE!</v>
      </c>
      <c r="BE3" t="e">
        <f>AND('7th Grade Roster'!H25,"AAAAAG///jg=")</f>
        <v>#VALUE!</v>
      </c>
      <c r="BF3" t="e">
        <f>AND('7th Grade Roster'!I25,"AAAAAG///jk=")</f>
        <v>#VALUE!</v>
      </c>
      <c r="BG3" t="e">
        <f>AND('7th Grade Roster'!J25,"AAAAAG///jo=")</f>
        <v>#VALUE!</v>
      </c>
      <c r="BH3" t="e">
        <f>AND('7th Grade Roster'!K25,"AAAAAG///js=")</f>
        <v>#VALUE!</v>
      </c>
      <c r="BI3" t="e">
        <f>AND('7th Grade Roster'!L25,"AAAAAG///jw=")</f>
        <v>#VALUE!</v>
      </c>
      <c r="BJ3" t="e">
        <f>AND('7th Grade Roster'!M25,"AAAAAG///j0=")</f>
        <v>#VALUE!</v>
      </c>
      <c r="BK3" t="e">
        <f>AND('7th Grade Roster'!N25,"AAAAAG///j4=")</f>
        <v>#VALUE!</v>
      </c>
      <c r="BL3" t="e">
        <f>AND('7th Grade Roster'!O25,"AAAAAG///j8=")</f>
        <v>#VALUE!</v>
      </c>
      <c r="BM3" t="e">
        <f>AND('7th Grade Roster'!S25,"AAAAAG///kA=")</f>
        <v>#VALUE!</v>
      </c>
      <c r="BN3" t="e">
        <f>AND('7th Grade Roster'!T25,"AAAAAG///kE=")</f>
        <v>#VALUE!</v>
      </c>
      <c r="BO3" t="e">
        <f>AND('7th Grade Roster'!U25,"AAAAAG///kI=")</f>
        <v>#VALUE!</v>
      </c>
      <c r="BP3" t="e">
        <f>AND('7th Grade Roster'!V25,"AAAAAG///kM=")</f>
        <v>#VALUE!</v>
      </c>
      <c r="BQ3">
        <f>IF('7th Grade Roster'!26:26,"AAAAAG///kQ=",0)</f>
        <v>0</v>
      </c>
      <c r="BR3" t="e">
        <f>AND('7th Grade Roster'!A26,"AAAAAG///kU=")</f>
        <v>#VALUE!</v>
      </c>
      <c r="BS3" t="e">
        <f>AND('7th Grade Roster'!B26,"AAAAAG///kY=")</f>
        <v>#VALUE!</v>
      </c>
      <c r="BT3" t="e">
        <f>AND('7th Grade Roster'!C26,"AAAAAG///kc=")</f>
        <v>#VALUE!</v>
      </c>
      <c r="BU3" t="e">
        <f>AND('7th Grade Roster'!D26,"AAAAAG///kg=")</f>
        <v>#VALUE!</v>
      </c>
      <c r="BV3" t="e">
        <f>AND('7th Grade Roster'!E26,"AAAAAG///kk=")</f>
        <v>#VALUE!</v>
      </c>
      <c r="BW3" t="e">
        <f>AND('7th Grade Roster'!F26,"AAAAAG///ko=")</f>
        <v>#VALUE!</v>
      </c>
      <c r="BX3" t="e">
        <f>AND('7th Grade Roster'!G26,"AAAAAG///ks=")</f>
        <v>#VALUE!</v>
      </c>
      <c r="BY3" t="e">
        <f>AND('7th Grade Roster'!H26,"AAAAAG///kw=")</f>
        <v>#VALUE!</v>
      </c>
      <c r="BZ3" t="e">
        <f>AND('7th Grade Roster'!I26,"AAAAAG///k0=")</f>
        <v>#VALUE!</v>
      </c>
      <c r="CA3" t="e">
        <f>AND('7th Grade Roster'!J26,"AAAAAG///k4=")</f>
        <v>#VALUE!</v>
      </c>
      <c r="CB3" t="e">
        <f>AND('7th Grade Roster'!K26,"AAAAAG///k8=")</f>
        <v>#VALUE!</v>
      </c>
      <c r="CC3" t="e">
        <f>AND('7th Grade Roster'!L26,"AAAAAG///lA=")</f>
        <v>#VALUE!</v>
      </c>
      <c r="CD3" t="e">
        <f>AND('7th Grade Roster'!M26,"AAAAAG///lE=")</f>
        <v>#VALUE!</v>
      </c>
      <c r="CE3" t="e">
        <f>AND('7th Grade Roster'!N26,"AAAAAG///lI=")</f>
        <v>#VALUE!</v>
      </c>
      <c r="CF3" t="e">
        <f>AND('7th Grade Roster'!O26,"AAAAAG///lM=")</f>
        <v>#VALUE!</v>
      </c>
      <c r="CG3" t="e">
        <f>AND('7th Grade Roster'!S26,"AAAAAG///lQ=")</f>
        <v>#VALUE!</v>
      </c>
      <c r="CH3" t="e">
        <f>AND('7th Grade Roster'!T26,"AAAAAG///lU=")</f>
        <v>#VALUE!</v>
      </c>
      <c r="CI3" t="e">
        <f>AND('7th Grade Roster'!U26,"AAAAAG///lY=")</f>
        <v>#VALUE!</v>
      </c>
      <c r="CJ3" t="e">
        <f>AND('7th Grade Roster'!V26,"AAAAAG///lc=")</f>
        <v>#VALUE!</v>
      </c>
      <c r="CK3">
        <f>IF('7th Grade Roster'!27:27,"AAAAAG///lg=",0)</f>
        <v>0</v>
      </c>
      <c r="CL3" t="e">
        <f>AND('7th Grade Roster'!A27,"AAAAAG///lk=")</f>
        <v>#VALUE!</v>
      </c>
      <c r="CM3" t="e">
        <f>AND('7th Grade Roster'!B27,"AAAAAG///lo=")</f>
        <v>#VALUE!</v>
      </c>
      <c r="CN3" t="e">
        <f>AND('7th Grade Roster'!C27,"AAAAAG///ls=")</f>
        <v>#VALUE!</v>
      </c>
      <c r="CO3" t="e">
        <f>AND('7th Grade Roster'!D27,"AAAAAG///lw=")</f>
        <v>#VALUE!</v>
      </c>
      <c r="CP3" t="e">
        <f>AND('7th Grade Roster'!E27,"AAAAAG///l0=")</f>
        <v>#VALUE!</v>
      </c>
      <c r="CQ3" t="e">
        <f>AND('7th Grade Roster'!F27,"AAAAAG///l4=")</f>
        <v>#VALUE!</v>
      </c>
      <c r="CR3" t="e">
        <f>AND('7th Grade Roster'!G27,"AAAAAG///l8=")</f>
        <v>#VALUE!</v>
      </c>
      <c r="CS3" t="e">
        <f>AND('7th Grade Roster'!H27,"AAAAAG///mA=")</f>
        <v>#VALUE!</v>
      </c>
      <c r="CT3" t="e">
        <f>AND('7th Grade Roster'!I27,"AAAAAG///mE=")</f>
        <v>#VALUE!</v>
      </c>
      <c r="CU3" t="e">
        <f>AND('7th Grade Roster'!J27,"AAAAAG///mI=")</f>
        <v>#VALUE!</v>
      </c>
      <c r="CV3" t="e">
        <f>AND('7th Grade Roster'!K27,"AAAAAG///mM=")</f>
        <v>#VALUE!</v>
      </c>
      <c r="CW3" t="e">
        <f>AND('7th Grade Roster'!L27,"AAAAAG///mQ=")</f>
        <v>#VALUE!</v>
      </c>
      <c r="CX3" t="e">
        <f>AND('7th Grade Roster'!M27,"AAAAAG///mU=")</f>
        <v>#VALUE!</v>
      </c>
      <c r="CY3" t="e">
        <f>AND('7th Grade Roster'!N27,"AAAAAG///mY=")</f>
        <v>#VALUE!</v>
      </c>
      <c r="CZ3" t="e">
        <f>AND('7th Grade Roster'!O27,"AAAAAG///mc=")</f>
        <v>#VALUE!</v>
      </c>
      <c r="DA3" t="e">
        <f>AND('7th Grade Roster'!S27,"AAAAAG///mg=")</f>
        <v>#VALUE!</v>
      </c>
      <c r="DB3" t="e">
        <f>AND('7th Grade Roster'!T27,"AAAAAG///mk=")</f>
        <v>#VALUE!</v>
      </c>
      <c r="DC3" t="e">
        <f>AND('7th Grade Roster'!U27,"AAAAAG///mo=")</f>
        <v>#VALUE!</v>
      </c>
      <c r="DD3" t="e">
        <f>AND('7th Grade Roster'!V27,"AAAAAG///ms=")</f>
        <v>#VALUE!</v>
      </c>
      <c r="DE3">
        <f>IF('7th Grade Roster'!28:28,"AAAAAG///mw=",0)</f>
        <v>0</v>
      </c>
      <c r="DF3" t="e">
        <f>AND('7th Grade Roster'!A28,"AAAAAG///m0=")</f>
        <v>#VALUE!</v>
      </c>
      <c r="DG3" t="e">
        <f>AND('7th Grade Roster'!B28,"AAAAAG///m4=")</f>
        <v>#VALUE!</v>
      </c>
      <c r="DH3" t="e">
        <f>AND('7th Grade Roster'!C28,"AAAAAG///m8=")</f>
        <v>#VALUE!</v>
      </c>
      <c r="DI3" t="e">
        <f>AND('7th Grade Roster'!D28,"AAAAAG///nA=")</f>
        <v>#VALUE!</v>
      </c>
      <c r="DJ3" t="e">
        <f>AND('7th Grade Roster'!E28,"AAAAAG///nE=")</f>
        <v>#VALUE!</v>
      </c>
      <c r="DK3" t="e">
        <f>AND('7th Grade Roster'!F28,"AAAAAG///nI=")</f>
        <v>#VALUE!</v>
      </c>
      <c r="DL3" t="e">
        <f>AND('7th Grade Roster'!G28,"AAAAAG///nM=")</f>
        <v>#VALUE!</v>
      </c>
      <c r="DM3" t="e">
        <f>AND('7th Grade Roster'!H28,"AAAAAG///nQ=")</f>
        <v>#VALUE!</v>
      </c>
      <c r="DN3" t="e">
        <f>AND('7th Grade Roster'!I28,"AAAAAG///nU=")</f>
        <v>#VALUE!</v>
      </c>
      <c r="DO3" t="e">
        <f>AND('7th Grade Roster'!J28,"AAAAAG///nY=")</f>
        <v>#VALUE!</v>
      </c>
      <c r="DP3" t="e">
        <f>AND('7th Grade Roster'!K28,"AAAAAG///nc=")</f>
        <v>#VALUE!</v>
      </c>
      <c r="DQ3" t="e">
        <f>AND('7th Grade Roster'!L28,"AAAAAG///ng=")</f>
        <v>#VALUE!</v>
      </c>
      <c r="DR3" t="e">
        <f>AND('7th Grade Roster'!M28,"AAAAAG///nk=")</f>
        <v>#VALUE!</v>
      </c>
      <c r="DS3" t="e">
        <f>AND('7th Grade Roster'!N28,"AAAAAG///no=")</f>
        <v>#VALUE!</v>
      </c>
      <c r="DT3" t="e">
        <f>AND('7th Grade Roster'!O28,"AAAAAG///ns=")</f>
        <v>#VALUE!</v>
      </c>
      <c r="DU3" t="e">
        <f>AND('7th Grade Roster'!S28,"AAAAAG///nw=")</f>
        <v>#VALUE!</v>
      </c>
      <c r="DV3" t="e">
        <f>AND('7th Grade Roster'!T28,"AAAAAG///n0=")</f>
        <v>#VALUE!</v>
      </c>
      <c r="DW3" t="e">
        <f>AND('7th Grade Roster'!U28,"AAAAAG///n4=")</f>
        <v>#VALUE!</v>
      </c>
      <c r="DX3" t="e">
        <f>AND('7th Grade Roster'!V28,"AAAAAG///n8=")</f>
        <v>#VALUE!</v>
      </c>
      <c r="DY3">
        <f>IF('7th Grade Roster'!29:29,"AAAAAG///oA=",0)</f>
        <v>0</v>
      </c>
      <c r="DZ3" t="e">
        <f>AND('7th Grade Roster'!A29,"AAAAAG///oE=")</f>
        <v>#VALUE!</v>
      </c>
      <c r="EA3" t="e">
        <f>AND('7th Grade Roster'!B29,"AAAAAG///oI=")</f>
        <v>#VALUE!</v>
      </c>
      <c r="EB3" t="e">
        <f>AND('7th Grade Roster'!C29,"AAAAAG///oM=")</f>
        <v>#VALUE!</v>
      </c>
      <c r="EC3" t="e">
        <f>AND('7th Grade Roster'!D29,"AAAAAG///oQ=")</f>
        <v>#VALUE!</v>
      </c>
      <c r="ED3" t="e">
        <f>AND('7th Grade Roster'!E29,"AAAAAG///oU=")</f>
        <v>#VALUE!</v>
      </c>
      <c r="EE3" t="e">
        <f>AND('7th Grade Roster'!F29,"AAAAAG///oY=")</f>
        <v>#VALUE!</v>
      </c>
      <c r="EF3" t="e">
        <f>AND('7th Grade Roster'!G29,"AAAAAG///oc=")</f>
        <v>#VALUE!</v>
      </c>
      <c r="EG3" t="e">
        <f>AND('7th Grade Roster'!H29,"AAAAAG///og=")</f>
        <v>#VALUE!</v>
      </c>
      <c r="EH3" t="e">
        <f>AND('7th Grade Roster'!I29,"AAAAAG///ok=")</f>
        <v>#VALUE!</v>
      </c>
      <c r="EI3" t="e">
        <f>AND('7th Grade Roster'!J29,"AAAAAG///oo=")</f>
        <v>#VALUE!</v>
      </c>
      <c r="EJ3" t="e">
        <f>AND('7th Grade Roster'!K29,"AAAAAG///os=")</f>
        <v>#VALUE!</v>
      </c>
      <c r="EK3" t="e">
        <f>AND('7th Grade Roster'!L29,"AAAAAG///ow=")</f>
        <v>#VALUE!</v>
      </c>
      <c r="EL3" t="e">
        <f>AND('7th Grade Roster'!M29,"AAAAAG///o0=")</f>
        <v>#VALUE!</v>
      </c>
      <c r="EM3" t="e">
        <f>AND('7th Grade Roster'!N29,"AAAAAG///o4=")</f>
        <v>#VALUE!</v>
      </c>
      <c r="EN3" t="e">
        <f>AND('7th Grade Roster'!O29,"AAAAAG///o8=")</f>
        <v>#VALUE!</v>
      </c>
      <c r="EO3" t="e">
        <f>AND('7th Grade Roster'!S29,"AAAAAG///pA=")</f>
        <v>#VALUE!</v>
      </c>
      <c r="EP3" t="e">
        <f>AND('7th Grade Roster'!T29,"AAAAAG///pE=")</f>
        <v>#VALUE!</v>
      </c>
      <c r="EQ3" t="e">
        <f>AND('7th Grade Roster'!U29,"AAAAAG///pI=")</f>
        <v>#VALUE!</v>
      </c>
      <c r="ER3" t="e">
        <f>AND('7th Grade Roster'!V29,"AAAAAG///pM=")</f>
        <v>#VALUE!</v>
      </c>
      <c r="ES3">
        <f>IF('7th Grade Roster'!30:30,"AAAAAG///pQ=",0)</f>
        <v>0</v>
      </c>
      <c r="ET3" t="e">
        <f>AND('7th Grade Roster'!A30,"AAAAAG///pU=")</f>
        <v>#VALUE!</v>
      </c>
      <c r="EU3" t="e">
        <f>AND('7th Grade Roster'!B30,"AAAAAG///pY=")</f>
        <v>#VALUE!</v>
      </c>
      <c r="EV3" t="e">
        <f>AND('7th Grade Roster'!C30,"AAAAAG///pc=")</f>
        <v>#VALUE!</v>
      </c>
      <c r="EW3" t="e">
        <f>AND('7th Grade Roster'!D30,"AAAAAG///pg=")</f>
        <v>#VALUE!</v>
      </c>
      <c r="EX3" t="e">
        <f>AND('7th Grade Roster'!E30,"AAAAAG///pk=")</f>
        <v>#VALUE!</v>
      </c>
      <c r="EY3" t="e">
        <f>AND('7th Grade Roster'!F30,"AAAAAG///po=")</f>
        <v>#VALUE!</v>
      </c>
      <c r="EZ3" t="e">
        <f>AND('7th Grade Roster'!G30,"AAAAAG///ps=")</f>
        <v>#VALUE!</v>
      </c>
      <c r="FA3" t="e">
        <f>AND('7th Grade Roster'!H30,"AAAAAG///pw=")</f>
        <v>#VALUE!</v>
      </c>
      <c r="FB3" t="e">
        <f>AND('7th Grade Roster'!I30,"AAAAAG///p0=")</f>
        <v>#VALUE!</v>
      </c>
      <c r="FC3" t="e">
        <f>AND('7th Grade Roster'!J30,"AAAAAG///p4=")</f>
        <v>#VALUE!</v>
      </c>
      <c r="FD3" t="e">
        <f>AND('7th Grade Roster'!K30,"AAAAAG///p8=")</f>
        <v>#VALUE!</v>
      </c>
      <c r="FE3" t="e">
        <f>AND('7th Grade Roster'!L30,"AAAAAG///qA=")</f>
        <v>#VALUE!</v>
      </c>
      <c r="FF3" t="e">
        <f>AND('7th Grade Roster'!M30,"AAAAAG///qE=")</f>
        <v>#VALUE!</v>
      </c>
      <c r="FG3" t="e">
        <f>AND('7th Grade Roster'!N30,"AAAAAG///qI=")</f>
        <v>#VALUE!</v>
      </c>
      <c r="FH3" t="e">
        <f>AND('7th Grade Roster'!O30,"AAAAAG///qM=")</f>
        <v>#VALUE!</v>
      </c>
      <c r="FI3" t="e">
        <f>AND('7th Grade Roster'!S30,"AAAAAG///qQ=")</f>
        <v>#VALUE!</v>
      </c>
      <c r="FJ3" t="e">
        <f>AND('7th Grade Roster'!T30,"AAAAAG///qU=")</f>
        <v>#VALUE!</v>
      </c>
      <c r="FK3" t="e">
        <f>AND('7th Grade Roster'!U30,"AAAAAG///qY=")</f>
        <v>#VALUE!</v>
      </c>
      <c r="FL3" t="e">
        <f>AND('7th Grade Roster'!V30,"AAAAAG///qc=")</f>
        <v>#VALUE!</v>
      </c>
      <c r="FM3">
        <f>IF('7th Grade Roster'!31:31,"AAAAAG///qg=",0)</f>
        <v>0</v>
      </c>
      <c r="FN3" t="e">
        <f>AND('7th Grade Roster'!A31,"AAAAAG///qk=")</f>
        <v>#VALUE!</v>
      </c>
      <c r="FO3" t="e">
        <f>AND('7th Grade Roster'!B31,"AAAAAG///qo=")</f>
        <v>#VALUE!</v>
      </c>
      <c r="FP3" t="e">
        <f>AND('7th Grade Roster'!C31,"AAAAAG///qs=")</f>
        <v>#VALUE!</v>
      </c>
      <c r="FQ3" t="e">
        <f>AND('7th Grade Roster'!D31,"AAAAAG///qw=")</f>
        <v>#VALUE!</v>
      </c>
      <c r="FR3" t="e">
        <f>AND('7th Grade Roster'!E31,"AAAAAG///q0=")</f>
        <v>#VALUE!</v>
      </c>
      <c r="FS3" t="e">
        <f>AND('7th Grade Roster'!F31,"AAAAAG///q4=")</f>
        <v>#VALUE!</v>
      </c>
      <c r="FT3" t="e">
        <f>AND('7th Grade Roster'!G31,"AAAAAG///q8=")</f>
        <v>#VALUE!</v>
      </c>
      <c r="FU3" t="e">
        <f>AND('7th Grade Roster'!H31,"AAAAAG///rA=")</f>
        <v>#VALUE!</v>
      </c>
      <c r="FV3" t="e">
        <f>AND('7th Grade Roster'!I31,"AAAAAG///rE=")</f>
        <v>#VALUE!</v>
      </c>
      <c r="FW3" t="e">
        <f>AND('7th Grade Roster'!J31,"AAAAAG///rI=")</f>
        <v>#VALUE!</v>
      </c>
      <c r="FX3" t="e">
        <f>AND('7th Grade Roster'!K31,"AAAAAG///rM=")</f>
        <v>#VALUE!</v>
      </c>
      <c r="FY3" t="e">
        <f>AND('7th Grade Roster'!L31,"AAAAAG///rQ=")</f>
        <v>#VALUE!</v>
      </c>
      <c r="FZ3" t="e">
        <f>AND('7th Grade Roster'!M31,"AAAAAG///rU=")</f>
        <v>#VALUE!</v>
      </c>
      <c r="GA3" t="e">
        <f>AND('7th Grade Roster'!N31,"AAAAAG///rY=")</f>
        <v>#VALUE!</v>
      </c>
      <c r="GB3" t="e">
        <f>AND('7th Grade Roster'!O31,"AAAAAG///rc=")</f>
        <v>#VALUE!</v>
      </c>
      <c r="GC3" t="e">
        <f>AND('7th Grade Roster'!S31,"AAAAAG///rg=")</f>
        <v>#VALUE!</v>
      </c>
      <c r="GD3" t="e">
        <f>AND('7th Grade Roster'!T31,"AAAAAG///rk=")</f>
        <v>#VALUE!</v>
      </c>
      <c r="GE3" t="e">
        <f>AND('7th Grade Roster'!U31,"AAAAAG///ro=")</f>
        <v>#VALUE!</v>
      </c>
      <c r="GF3" t="e">
        <f>AND('7th Grade Roster'!V31,"AAAAAG///rs=")</f>
        <v>#VALUE!</v>
      </c>
      <c r="GG3">
        <f>IF('7th Grade Roster'!32:32,"AAAAAG///rw=",0)</f>
        <v>0</v>
      </c>
      <c r="GH3" t="e">
        <f>AND('7th Grade Roster'!A32,"AAAAAG///r0=")</f>
        <v>#VALUE!</v>
      </c>
      <c r="GI3" t="e">
        <f>AND('7th Grade Roster'!B32,"AAAAAG///r4=")</f>
        <v>#VALUE!</v>
      </c>
      <c r="GJ3" t="e">
        <f>AND('7th Grade Roster'!C32,"AAAAAG///r8=")</f>
        <v>#VALUE!</v>
      </c>
      <c r="GK3" t="e">
        <f>AND('7th Grade Roster'!D32,"AAAAAG///sA=")</f>
        <v>#VALUE!</v>
      </c>
      <c r="GL3" t="e">
        <f>AND('7th Grade Roster'!E32,"AAAAAG///sE=")</f>
        <v>#VALUE!</v>
      </c>
      <c r="GM3" t="e">
        <f>AND('7th Grade Roster'!F32,"AAAAAG///sI=")</f>
        <v>#VALUE!</v>
      </c>
      <c r="GN3" t="e">
        <f>AND('7th Grade Roster'!G32,"AAAAAG///sM=")</f>
        <v>#VALUE!</v>
      </c>
      <c r="GO3" t="e">
        <f>AND('7th Grade Roster'!H32,"AAAAAG///sQ=")</f>
        <v>#VALUE!</v>
      </c>
      <c r="GP3" t="e">
        <f>AND('7th Grade Roster'!I32,"AAAAAG///sU=")</f>
        <v>#VALUE!</v>
      </c>
      <c r="GQ3" t="e">
        <f>AND('7th Grade Roster'!J32,"AAAAAG///sY=")</f>
        <v>#VALUE!</v>
      </c>
      <c r="GR3" t="e">
        <f>AND('7th Grade Roster'!K32,"AAAAAG///sc=")</f>
        <v>#VALUE!</v>
      </c>
      <c r="GS3" t="e">
        <f>AND('7th Grade Roster'!L32,"AAAAAG///sg=")</f>
        <v>#VALUE!</v>
      </c>
      <c r="GT3" t="e">
        <f>AND('7th Grade Roster'!M32,"AAAAAG///sk=")</f>
        <v>#VALUE!</v>
      </c>
      <c r="GU3" t="e">
        <f>AND('7th Grade Roster'!N32,"AAAAAG///so=")</f>
        <v>#VALUE!</v>
      </c>
      <c r="GV3" t="e">
        <f>AND('7th Grade Roster'!O32,"AAAAAG///ss=")</f>
        <v>#VALUE!</v>
      </c>
      <c r="GW3" t="e">
        <f>AND('7th Grade Roster'!S32,"AAAAAG///sw=")</f>
        <v>#VALUE!</v>
      </c>
      <c r="GX3" t="e">
        <f>AND('7th Grade Roster'!T32,"AAAAAG///s0=")</f>
        <v>#VALUE!</v>
      </c>
      <c r="GY3" t="e">
        <f>AND('7th Grade Roster'!U32,"AAAAAG///s4=")</f>
        <v>#VALUE!</v>
      </c>
      <c r="GZ3" t="e">
        <f>AND('7th Grade Roster'!V32,"AAAAAG///s8=")</f>
        <v>#VALUE!</v>
      </c>
      <c r="HA3">
        <f>IF('7th Grade Roster'!33:33,"AAAAAG///tA=",0)</f>
        <v>0</v>
      </c>
      <c r="HB3" t="e">
        <f>AND('7th Grade Roster'!A33,"AAAAAG///tE=")</f>
        <v>#VALUE!</v>
      </c>
      <c r="HC3" t="e">
        <f>AND('7th Grade Roster'!B33,"AAAAAG///tI=")</f>
        <v>#VALUE!</v>
      </c>
      <c r="HD3" t="e">
        <f>AND('7th Grade Roster'!C33,"AAAAAG///tM=")</f>
        <v>#VALUE!</v>
      </c>
      <c r="HE3" t="e">
        <f>AND('7th Grade Roster'!D33,"AAAAAG///tQ=")</f>
        <v>#VALUE!</v>
      </c>
      <c r="HF3" t="e">
        <f>AND('7th Grade Roster'!E33,"AAAAAG///tU=")</f>
        <v>#VALUE!</v>
      </c>
      <c r="HG3" t="e">
        <f>AND('7th Grade Roster'!F33,"AAAAAG///tY=")</f>
        <v>#VALUE!</v>
      </c>
      <c r="HH3" t="e">
        <f>AND('7th Grade Roster'!G33,"AAAAAG///tc=")</f>
        <v>#VALUE!</v>
      </c>
      <c r="HI3" t="e">
        <f>AND('7th Grade Roster'!H33,"AAAAAG///tg=")</f>
        <v>#VALUE!</v>
      </c>
      <c r="HJ3" t="e">
        <f>AND('7th Grade Roster'!I33,"AAAAAG///tk=")</f>
        <v>#VALUE!</v>
      </c>
      <c r="HK3" t="e">
        <f>AND('7th Grade Roster'!J33,"AAAAAG///to=")</f>
        <v>#VALUE!</v>
      </c>
      <c r="HL3" t="e">
        <f>AND('7th Grade Roster'!K33,"AAAAAG///ts=")</f>
        <v>#VALUE!</v>
      </c>
      <c r="HM3" t="e">
        <f>AND('7th Grade Roster'!L33,"AAAAAG///tw=")</f>
        <v>#VALUE!</v>
      </c>
      <c r="HN3" t="e">
        <f>AND('7th Grade Roster'!M33,"AAAAAG///t0=")</f>
        <v>#VALUE!</v>
      </c>
      <c r="HO3" t="e">
        <f>AND('7th Grade Roster'!N33,"AAAAAG///t4=")</f>
        <v>#VALUE!</v>
      </c>
      <c r="HP3" t="e">
        <f>AND('7th Grade Roster'!O33,"AAAAAG///t8=")</f>
        <v>#VALUE!</v>
      </c>
      <c r="HQ3" t="e">
        <f>AND('7th Grade Roster'!S33,"AAAAAG///uA=")</f>
        <v>#VALUE!</v>
      </c>
      <c r="HR3" t="e">
        <f>AND('7th Grade Roster'!T33,"AAAAAG///uE=")</f>
        <v>#VALUE!</v>
      </c>
      <c r="HS3" t="e">
        <f>AND('7th Grade Roster'!U33,"AAAAAG///uI=")</f>
        <v>#VALUE!</v>
      </c>
      <c r="HT3" t="e">
        <f>AND('7th Grade Roster'!V33,"AAAAAG///uM=")</f>
        <v>#VALUE!</v>
      </c>
      <c r="HU3">
        <f>IF('7th Grade Roster'!34:34,"AAAAAG///uQ=",0)</f>
        <v>0</v>
      </c>
      <c r="HV3" t="e">
        <f>AND('7th Grade Roster'!A34,"AAAAAG///uU=")</f>
        <v>#VALUE!</v>
      </c>
      <c r="HW3" t="e">
        <f>AND('7th Grade Roster'!B34,"AAAAAG///uY=")</f>
        <v>#VALUE!</v>
      </c>
      <c r="HX3" t="e">
        <f>AND('7th Grade Roster'!C34,"AAAAAG///uc=")</f>
        <v>#VALUE!</v>
      </c>
      <c r="HY3" t="e">
        <f>AND('7th Grade Roster'!D34,"AAAAAG///ug=")</f>
        <v>#VALUE!</v>
      </c>
      <c r="HZ3" t="e">
        <f>AND('7th Grade Roster'!E34,"AAAAAG///uk=")</f>
        <v>#VALUE!</v>
      </c>
      <c r="IA3" t="e">
        <f>AND('7th Grade Roster'!F34,"AAAAAG///uo=")</f>
        <v>#VALUE!</v>
      </c>
      <c r="IB3" t="e">
        <f>AND('7th Grade Roster'!G34,"AAAAAG///us=")</f>
        <v>#VALUE!</v>
      </c>
      <c r="IC3" t="e">
        <f>AND('7th Grade Roster'!H34,"AAAAAG///uw=")</f>
        <v>#VALUE!</v>
      </c>
      <c r="ID3" t="e">
        <f>AND('7th Grade Roster'!I34,"AAAAAG///u0=")</f>
        <v>#VALUE!</v>
      </c>
      <c r="IE3" t="e">
        <f>AND('7th Grade Roster'!J34,"AAAAAG///u4=")</f>
        <v>#VALUE!</v>
      </c>
      <c r="IF3" t="e">
        <f>AND('7th Grade Roster'!K34,"AAAAAG///u8=")</f>
        <v>#VALUE!</v>
      </c>
      <c r="IG3" t="e">
        <f>AND('7th Grade Roster'!L34,"AAAAAG///vA=")</f>
        <v>#VALUE!</v>
      </c>
      <c r="IH3" t="e">
        <f>AND('7th Grade Roster'!M34,"AAAAAG///vE=")</f>
        <v>#VALUE!</v>
      </c>
      <c r="II3" t="e">
        <f>AND('7th Grade Roster'!N34,"AAAAAG///vI=")</f>
        <v>#VALUE!</v>
      </c>
      <c r="IJ3" t="e">
        <f>AND('7th Grade Roster'!O34,"AAAAAG///vM=")</f>
        <v>#VALUE!</v>
      </c>
      <c r="IK3" t="e">
        <f>AND('7th Grade Roster'!S34,"AAAAAG///vQ=")</f>
        <v>#VALUE!</v>
      </c>
      <c r="IL3" t="e">
        <f>AND('7th Grade Roster'!T34,"AAAAAG///vU=")</f>
        <v>#VALUE!</v>
      </c>
      <c r="IM3" t="e">
        <f>AND('7th Grade Roster'!U34,"AAAAAG///vY=")</f>
        <v>#VALUE!</v>
      </c>
      <c r="IN3" t="e">
        <f>AND('7th Grade Roster'!V34,"AAAAAG///vc=")</f>
        <v>#VALUE!</v>
      </c>
      <c r="IO3">
        <f>IF('7th Grade Roster'!35:35,"AAAAAG///vg=",0)</f>
        <v>0</v>
      </c>
      <c r="IP3" t="e">
        <f>AND('7th Grade Roster'!A35,"AAAAAG///vk=")</f>
        <v>#VALUE!</v>
      </c>
      <c r="IQ3" t="e">
        <f>AND('7th Grade Roster'!B35,"AAAAAG///vo=")</f>
        <v>#VALUE!</v>
      </c>
      <c r="IR3" t="e">
        <f>AND('7th Grade Roster'!C35,"AAAAAG///vs=")</f>
        <v>#VALUE!</v>
      </c>
      <c r="IS3" t="e">
        <f>AND('7th Grade Roster'!D35,"AAAAAG///vw=")</f>
        <v>#VALUE!</v>
      </c>
      <c r="IT3" t="e">
        <f>AND('7th Grade Roster'!E35,"AAAAAG///v0=")</f>
        <v>#VALUE!</v>
      </c>
      <c r="IU3" t="e">
        <f>AND('7th Grade Roster'!F35,"AAAAAG///v4=")</f>
        <v>#VALUE!</v>
      </c>
      <c r="IV3" t="e">
        <f>AND('7th Grade Roster'!G35,"AAAAAG///v8=")</f>
        <v>#VALUE!</v>
      </c>
    </row>
    <row r="4" spans="1:256" x14ac:dyDescent="0.2">
      <c r="A4" t="e">
        <f>AND('7th Grade Roster'!H35,"AAAAAE/X9gA=")</f>
        <v>#VALUE!</v>
      </c>
      <c r="B4" t="e">
        <f>AND('7th Grade Roster'!I35,"AAAAAE/X9gE=")</f>
        <v>#VALUE!</v>
      </c>
      <c r="C4" t="e">
        <f>AND('7th Grade Roster'!J35,"AAAAAE/X9gI=")</f>
        <v>#VALUE!</v>
      </c>
      <c r="D4" t="e">
        <f>AND('7th Grade Roster'!K35,"AAAAAE/X9gM=")</f>
        <v>#VALUE!</v>
      </c>
      <c r="E4" t="e">
        <f>AND('7th Grade Roster'!L35,"AAAAAE/X9gQ=")</f>
        <v>#VALUE!</v>
      </c>
      <c r="F4" t="e">
        <f>AND('7th Grade Roster'!M35,"AAAAAE/X9gU=")</f>
        <v>#VALUE!</v>
      </c>
      <c r="G4" t="e">
        <f>AND('7th Grade Roster'!N35,"AAAAAE/X9gY=")</f>
        <v>#VALUE!</v>
      </c>
      <c r="H4" t="e">
        <f>AND('7th Grade Roster'!O35,"AAAAAE/X9gc=")</f>
        <v>#VALUE!</v>
      </c>
      <c r="I4" t="e">
        <f>AND('7th Grade Roster'!S35,"AAAAAE/X9gg=")</f>
        <v>#VALUE!</v>
      </c>
      <c r="J4" t="e">
        <f>AND('7th Grade Roster'!T35,"AAAAAE/X9gk=")</f>
        <v>#VALUE!</v>
      </c>
      <c r="K4" t="e">
        <f>AND('7th Grade Roster'!U35,"AAAAAE/X9go=")</f>
        <v>#VALUE!</v>
      </c>
      <c r="L4" t="e">
        <f>AND('7th Grade Roster'!V35,"AAAAAE/X9gs=")</f>
        <v>#VALUE!</v>
      </c>
      <c r="M4">
        <f>IF('7th Grade Roster'!36:36,"AAAAAE/X9gw=",0)</f>
        <v>0</v>
      </c>
      <c r="N4" t="e">
        <f>AND('7th Grade Roster'!A36,"AAAAAE/X9g0=")</f>
        <v>#VALUE!</v>
      </c>
      <c r="O4" t="e">
        <f>AND('7th Grade Roster'!B36,"AAAAAE/X9g4=")</f>
        <v>#VALUE!</v>
      </c>
      <c r="P4" t="e">
        <f>AND('7th Grade Roster'!C36,"AAAAAE/X9g8=")</f>
        <v>#VALUE!</v>
      </c>
      <c r="Q4" t="e">
        <f>AND('7th Grade Roster'!D36,"AAAAAE/X9hA=")</f>
        <v>#VALUE!</v>
      </c>
      <c r="R4" t="e">
        <f>AND('7th Grade Roster'!E36,"AAAAAE/X9hE=")</f>
        <v>#VALUE!</v>
      </c>
      <c r="S4" t="e">
        <f>AND('7th Grade Roster'!F36,"AAAAAE/X9hI=")</f>
        <v>#VALUE!</v>
      </c>
      <c r="T4" t="e">
        <f>AND('7th Grade Roster'!G36,"AAAAAE/X9hM=")</f>
        <v>#VALUE!</v>
      </c>
      <c r="U4" t="e">
        <f>AND('7th Grade Roster'!H36,"AAAAAE/X9hQ=")</f>
        <v>#VALUE!</v>
      </c>
      <c r="V4" t="e">
        <f>AND('7th Grade Roster'!I36,"AAAAAE/X9hU=")</f>
        <v>#VALUE!</v>
      </c>
      <c r="W4" t="e">
        <f>AND('7th Grade Roster'!J36,"AAAAAE/X9hY=")</f>
        <v>#VALUE!</v>
      </c>
      <c r="X4" t="e">
        <f>AND('7th Grade Roster'!K36,"AAAAAE/X9hc=")</f>
        <v>#VALUE!</v>
      </c>
      <c r="Y4" t="e">
        <f>AND('7th Grade Roster'!L36,"AAAAAE/X9hg=")</f>
        <v>#VALUE!</v>
      </c>
      <c r="Z4" t="e">
        <f>AND('7th Grade Roster'!M36,"AAAAAE/X9hk=")</f>
        <v>#VALUE!</v>
      </c>
      <c r="AA4" t="e">
        <f>AND('7th Grade Roster'!N36,"AAAAAE/X9ho=")</f>
        <v>#VALUE!</v>
      </c>
      <c r="AB4" t="e">
        <f>AND('7th Grade Roster'!O36,"AAAAAE/X9hs=")</f>
        <v>#VALUE!</v>
      </c>
      <c r="AC4" t="e">
        <f>AND('7th Grade Roster'!S36,"AAAAAE/X9hw=")</f>
        <v>#VALUE!</v>
      </c>
      <c r="AD4" t="e">
        <f>AND('7th Grade Roster'!T36,"AAAAAE/X9h0=")</f>
        <v>#VALUE!</v>
      </c>
      <c r="AE4" t="e">
        <f>AND('7th Grade Roster'!U36,"AAAAAE/X9h4=")</f>
        <v>#VALUE!</v>
      </c>
      <c r="AF4" t="e">
        <f>AND('7th Grade Roster'!V36,"AAAAAE/X9h8=")</f>
        <v>#VALUE!</v>
      </c>
      <c r="AG4">
        <f>IF('7th Grade Roster'!37:37,"AAAAAE/X9iA=",0)</f>
        <v>0</v>
      </c>
      <c r="AH4" t="e">
        <f>AND('7th Grade Roster'!A37,"AAAAAE/X9iE=")</f>
        <v>#VALUE!</v>
      </c>
      <c r="AI4" t="e">
        <f>AND('7th Grade Roster'!B37,"AAAAAE/X9iI=")</f>
        <v>#VALUE!</v>
      </c>
      <c r="AJ4" t="e">
        <f>AND('7th Grade Roster'!C37,"AAAAAE/X9iM=")</f>
        <v>#VALUE!</v>
      </c>
      <c r="AK4" t="e">
        <f>AND('7th Grade Roster'!D37,"AAAAAE/X9iQ=")</f>
        <v>#VALUE!</v>
      </c>
      <c r="AL4" t="e">
        <f>AND('7th Grade Roster'!E37,"AAAAAE/X9iU=")</f>
        <v>#VALUE!</v>
      </c>
      <c r="AM4" t="e">
        <f>AND('7th Grade Roster'!F37,"AAAAAE/X9iY=")</f>
        <v>#VALUE!</v>
      </c>
      <c r="AN4" t="e">
        <f>AND('7th Grade Roster'!G37,"AAAAAE/X9ic=")</f>
        <v>#VALUE!</v>
      </c>
      <c r="AO4" t="e">
        <f>AND('7th Grade Roster'!H37,"AAAAAE/X9ig=")</f>
        <v>#VALUE!</v>
      </c>
      <c r="AP4" t="e">
        <f>AND('7th Grade Roster'!I37,"AAAAAE/X9ik=")</f>
        <v>#VALUE!</v>
      </c>
      <c r="AQ4" t="e">
        <f>AND('7th Grade Roster'!J37,"AAAAAE/X9io=")</f>
        <v>#VALUE!</v>
      </c>
      <c r="AR4" t="e">
        <f>AND('7th Grade Roster'!K37,"AAAAAE/X9is=")</f>
        <v>#VALUE!</v>
      </c>
      <c r="AS4" t="e">
        <f>AND('7th Grade Roster'!L37,"AAAAAE/X9iw=")</f>
        <v>#VALUE!</v>
      </c>
      <c r="AT4" t="e">
        <f>AND('7th Grade Roster'!M37,"AAAAAE/X9i0=")</f>
        <v>#VALUE!</v>
      </c>
      <c r="AU4" t="e">
        <f>AND('7th Grade Roster'!N37,"AAAAAE/X9i4=")</f>
        <v>#VALUE!</v>
      </c>
      <c r="AV4" t="e">
        <f>AND('7th Grade Roster'!O37,"AAAAAE/X9i8=")</f>
        <v>#VALUE!</v>
      </c>
      <c r="AW4" t="e">
        <f>AND('7th Grade Roster'!S37,"AAAAAE/X9jA=")</f>
        <v>#VALUE!</v>
      </c>
      <c r="AX4" t="e">
        <f>AND('7th Grade Roster'!T37,"AAAAAE/X9jE=")</f>
        <v>#VALUE!</v>
      </c>
      <c r="AY4" t="e">
        <f>AND('7th Grade Roster'!U37,"AAAAAE/X9jI=")</f>
        <v>#VALUE!</v>
      </c>
      <c r="AZ4" t="e">
        <f>AND('7th Grade Roster'!V37,"AAAAAE/X9jM=")</f>
        <v>#VALUE!</v>
      </c>
      <c r="BA4">
        <f>IF('7th Grade Roster'!38:38,"AAAAAE/X9jQ=",0)</f>
        <v>0</v>
      </c>
      <c r="BB4" t="e">
        <f>AND('7th Grade Roster'!A38,"AAAAAE/X9jU=")</f>
        <v>#VALUE!</v>
      </c>
      <c r="BC4" t="e">
        <f>AND('7th Grade Roster'!B38,"AAAAAE/X9jY=")</f>
        <v>#VALUE!</v>
      </c>
      <c r="BD4" t="e">
        <f>AND('7th Grade Roster'!C38,"AAAAAE/X9jc=")</f>
        <v>#VALUE!</v>
      </c>
      <c r="BE4" t="e">
        <f>AND('7th Grade Roster'!D38,"AAAAAE/X9jg=")</f>
        <v>#VALUE!</v>
      </c>
      <c r="BF4" t="e">
        <f>AND('7th Grade Roster'!E38,"AAAAAE/X9jk=")</f>
        <v>#VALUE!</v>
      </c>
      <c r="BG4" t="e">
        <f>AND('7th Grade Roster'!F38,"AAAAAE/X9jo=")</f>
        <v>#VALUE!</v>
      </c>
      <c r="BH4" t="e">
        <f>AND('7th Grade Roster'!G38,"AAAAAE/X9js=")</f>
        <v>#VALUE!</v>
      </c>
      <c r="BI4" t="e">
        <f>AND('7th Grade Roster'!H38,"AAAAAE/X9jw=")</f>
        <v>#VALUE!</v>
      </c>
      <c r="BJ4" t="e">
        <f>AND('7th Grade Roster'!I38,"AAAAAE/X9j0=")</f>
        <v>#VALUE!</v>
      </c>
      <c r="BK4" t="e">
        <f>AND('7th Grade Roster'!J38,"AAAAAE/X9j4=")</f>
        <v>#VALUE!</v>
      </c>
      <c r="BL4" t="e">
        <f>AND('7th Grade Roster'!K38,"AAAAAE/X9j8=")</f>
        <v>#VALUE!</v>
      </c>
      <c r="BM4" t="e">
        <f>AND('7th Grade Roster'!L38,"AAAAAE/X9kA=")</f>
        <v>#VALUE!</v>
      </c>
      <c r="BN4" t="e">
        <f>AND('7th Grade Roster'!M38,"AAAAAE/X9kE=")</f>
        <v>#VALUE!</v>
      </c>
      <c r="BO4" t="e">
        <f>AND('7th Grade Roster'!N38,"AAAAAE/X9kI=")</f>
        <v>#VALUE!</v>
      </c>
      <c r="BP4" t="e">
        <f>AND('7th Grade Roster'!O38,"AAAAAE/X9kM=")</f>
        <v>#VALUE!</v>
      </c>
      <c r="BQ4" t="e">
        <f>AND('7th Grade Roster'!S38,"AAAAAE/X9kQ=")</f>
        <v>#VALUE!</v>
      </c>
      <c r="BR4" t="e">
        <f>AND('7th Grade Roster'!T38,"AAAAAE/X9kU=")</f>
        <v>#VALUE!</v>
      </c>
      <c r="BS4" t="e">
        <f>AND('7th Grade Roster'!U38,"AAAAAE/X9kY=")</f>
        <v>#VALUE!</v>
      </c>
      <c r="BT4" t="e">
        <f>AND('7th Grade Roster'!V38,"AAAAAE/X9kc=")</f>
        <v>#VALUE!</v>
      </c>
      <c r="BU4">
        <f>IF('7th Grade Roster'!39:39,"AAAAAE/X9kg=",0)</f>
        <v>0</v>
      </c>
      <c r="BV4" t="e">
        <f>AND('7th Grade Roster'!A39,"AAAAAE/X9kk=")</f>
        <v>#VALUE!</v>
      </c>
      <c r="BW4" t="e">
        <f>AND('7th Grade Roster'!B39,"AAAAAE/X9ko=")</f>
        <v>#VALUE!</v>
      </c>
      <c r="BX4" t="e">
        <f>AND('7th Grade Roster'!C39,"AAAAAE/X9ks=")</f>
        <v>#VALUE!</v>
      </c>
      <c r="BY4" t="e">
        <f>AND('7th Grade Roster'!D39,"AAAAAE/X9kw=")</f>
        <v>#VALUE!</v>
      </c>
      <c r="BZ4" t="e">
        <f>AND('7th Grade Roster'!E39,"AAAAAE/X9k0=")</f>
        <v>#VALUE!</v>
      </c>
      <c r="CA4" t="e">
        <f>AND('7th Grade Roster'!F39,"AAAAAE/X9k4=")</f>
        <v>#VALUE!</v>
      </c>
      <c r="CB4" t="e">
        <f>AND('7th Grade Roster'!G39,"AAAAAE/X9k8=")</f>
        <v>#VALUE!</v>
      </c>
      <c r="CC4" t="e">
        <f>AND('7th Grade Roster'!H39,"AAAAAE/X9lA=")</f>
        <v>#VALUE!</v>
      </c>
      <c r="CD4" t="e">
        <f>AND('7th Grade Roster'!I39,"AAAAAE/X9lE=")</f>
        <v>#VALUE!</v>
      </c>
      <c r="CE4" t="e">
        <f>AND('7th Grade Roster'!J39,"AAAAAE/X9lI=")</f>
        <v>#VALUE!</v>
      </c>
      <c r="CF4" t="e">
        <f>AND('7th Grade Roster'!K39,"AAAAAE/X9lM=")</f>
        <v>#VALUE!</v>
      </c>
      <c r="CG4" t="e">
        <f>AND('7th Grade Roster'!L39,"AAAAAE/X9lQ=")</f>
        <v>#VALUE!</v>
      </c>
      <c r="CH4" t="e">
        <f>AND('7th Grade Roster'!M39,"AAAAAE/X9lU=")</f>
        <v>#VALUE!</v>
      </c>
      <c r="CI4" t="e">
        <f>AND('7th Grade Roster'!N39,"AAAAAE/X9lY=")</f>
        <v>#VALUE!</v>
      </c>
      <c r="CJ4" t="e">
        <f>AND('7th Grade Roster'!O39,"AAAAAE/X9lc=")</f>
        <v>#VALUE!</v>
      </c>
      <c r="CK4" t="e">
        <f>AND('7th Grade Roster'!S39,"AAAAAE/X9lg=")</f>
        <v>#VALUE!</v>
      </c>
      <c r="CL4" t="e">
        <f>AND('7th Grade Roster'!T39,"AAAAAE/X9lk=")</f>
        <v>#VALUE!</v>
      </c>
      <c r="CM4" t="e">
        <f>AND('7th Grade Roster'!U39,"AAAAAE/X9lo=")</f>
        <v>#VALUE!</v>
      </c>
      <c r="CN4" t="e">
        <f>AND('7th Grade Roster'!V39,"AAAAAE/X9ls=")</f>
        <v>#VALUE!</v>
      </c>
      <c r="CO4">
        <f>IF('7th Grade Roster'!40:40,"AAAAAE/X9lw=",0)</f>
        <v>0</v>
      </c>
      <c r="CP4" t="e">
        <f>AND('7th Grade Roster'!A40,"AAAAAE/X9l0=")</f>
        <v>#VALUE!</v>
      </c>
      <c r="CQ4" t="e">
        <f>AND('7th Grade Roster'!B40,"AAAAAE/X9l4=")</f>
        <v>#VALUE!</v>
      </c>
      <c r="CR4" t="e">
        <f>AND('7th Grade Roster'!C40,"AAAAAE/X9l8=")</f>
        <v>#VALUE!</v>
      </c>
      <c r="CS4" t="e">
        <f>AND('7th Grade Roster'!D40,"AAAAAE/X9mA=")</f>
        <v>#VALUE!</v>
      </c>
      <c r="CT4" t="e">
        <f>AND('7th Grade Roster'!E40,"AAAAAE/X9mE=")</f>
        <v>#VALUE!</v>
      </c>
      <c r="CU4" t="e">
        <f>AND('7th Grade Roster'!F40,"AAAAAE/X9mI=")</f>
        <v>#VALUE!</v>
      </c>
      <c r="CV4" t="e">
        <f>AND('7th Grade Roster'!G40,"AAAAAE/X9mM=")</f>
        <v>#VALUE!</v>
      </c>
      <c r="CW4" t="e">
        <f>AND('7th Grade Roster'!H40,"AAAAAE/X9mQ=")</f>
        <v>#VALUE!</v>
      </c>
      <c r="CX4" t="e">
        <f>AND('7th Grade Roster'!I40,"AAAAAE/X9mU=")</f>
        <v>#VALUE!</v>
      </c>
      <c r="CY4" t="e">
        <f>AND('7th Grade Roster'!J40,"AAAAAE/X9mY=")</f>
        <v>#VALUE!</v>
      </c>
      <c r="CZ4" t="e">
        <f>AND('7th Grade Roster'!K40,"AAAAAE/X9mc=")</f>
        <v>#VALUE!</v>
      </c>
      <c r="DA4" t="e">
        <f>AND('7th Grade Roster'!L40,"AAAAAE/X9mg=")</f>
        <v>#VALUE!</v>
      </c>
      <c r="DB4" t="e">
        <f>AND('7th Grade Roster'!M40,"AAAAAE/X9mk=")</f>
        <v>#VALUE!</v>
      </c>
      <c r="DC4" t="e">
        <f>AND('7th Grade Roster'!N40,"AAAAAE/X9mo=")</f>
        <v>#VALUE!</v>
      </c>
      <c r="DD4" t="e">
        <f>AND('7th Grade Roster'!O40,"AAAAAE/X9ms=")</f>
        <v>#VALUE!</v>
      </c>
      <c r="DE4" t="e">
        <f>AND('7th Grade Roster'!S40,"AAAAAE/X9mw=")</f>
        <v>#VALUE!</v>
      </c>
      <c r="DF4" t="e">
        <f>AND('7th Grade Roster'!T40,"AAAAAE/X9m0=")</f>
        <v>#VALUE!</v>
      </c>
      <c r="DG4" t="e">
        <f>AND('7th Grade Roster'!U40,"AAAAAE/X9m4=")</f>
        <v>#VALUE!</v>
      </c>
      <c r="DH4" t="e">
        <f>AND('7th Grade Roster'!V40,"AAAAAE/X9m8=")</f>
        <v>#VALUE!</v>
      </c>
      <c r="DI4">
        <f>IF('7th Grade Roster'!41:41,"AAAAAE/X9nA=",0)</f>
        <v>0</v>
      </c>
      <c r="DJ4" t="e">
        <f>AND('7th Grade Roster'!A41,"AAAAAE/X9nE=")</f>
        <v>#VALUE!</v>
      </c>
      <c r="DK4" t="e">
        <f>AND('7th Grade Roster'!B41,"AAAAAE/X9nI=")</f>
        <v>#VALUE!</v>
      </c>
      <c r="DL4" t="e">
        <f>AND('7th Grade Roster'!C41,"AAAAAE/X9nM=")</f>
        <v>#VALUE!</v>
      </c>
      <c r="DM4" t="e">
        <f>AND('7th Grade Roster'!D41,"AAAAAE/X9nQ=")</f>
        <v>#VALUE!</v>
      </c>
      <c r="DN4" t="e">
        <f>AND('7th Grade Roster'!E41,"AAAAAE/X9nU=")</f>
        <v>#VALUE!</v>
      </c>
      <c r="DO4" t="e">
        <f>AND('7th Grade Roster'!F41,"AAAAAE/X9nY=")</f>
        <v>#VALUE!</v>
      </c>
      <c r="DP4" t="e">
        <f>AND('7th Grade Roster'!G41,"AAAAAE/X9nc=")</f>
        <v>#VALUE!</v>
      </c>
      <c r="DQ4" t="e">
        <f>AND('7th Grade Roster'!H41,"AAAAAE/X9ng=")</f>
        <v>#VALUE!</v>
      </c>
      <c r="DR4" t="e">
        <f>AND('7th Grade Roster'!I41,"AAAAAE/X9nk=")</f>
        <v>#VALUE!</v>
      </c>
      <c r="DS4" t="e">
        <f>AND('7th Grade Roster'!J41,"AAAAAE/X9no=")</f>
        <v>#VALUE!</v>
      </c>
      <c r="DT4" t="e">
        <f>AND('7th Grade Roster'!K41,"AAAAAE/X9ns=")</f>
        <v>#VALUE!</v>
      </c>
      <c r="DU4" t="e">
        <f>AND('7th Grade Roster'!L41,"AAAAAE/X9nw=")</f>
        <v>#VALUE!</v>
      </c>
      <c r="DV4" t="e">
        <f>AND('7th Grade Roster'!M41,"AAAAAE/X9n0=")</f>
        <v>#VALUE!</v>
      </c>
      <c r="DW4" t="e">
        <f>AND('7th Grade Roster'!N41,"AAAAAE/X9n4=")</f>
        <v>#VALUE!</v>
      </c>
      <c r="DX4" t="e">
        <f>AND('7th Grade Roster'!O41,"AAAAAE/X9n8=")</f>
        <v>#VALUE!</v>
      </c>
      <c r="DY4" t="e">
        <f>AND('7th Grade Roster'!S41,"AAAAAE/X9oA=")</f>
        <v>#VALUE!</v>
      </c>
      <c r="DZ4" t="e">
        <f>AND('7th Grade Roster'!T41,"AAAAAE/X9oE=")</f>
        <v>#VALUE!</v>
      </c>
      <c r="EA4" t="e">
        <f>AND('7th Grade Roster'!U41,"AAAAAE/X9oI=")</f>
        <v>#VALUE!</v>
      </c>
      <c r="EB4" t="e">
        <f>AND('7th Grade Roster'!V41,"AAAAAE/X9oM=")</f>
        <v>#VALUE!</v>
      </c>
      <c r="EC4">
        <f>IF('7th Grade Roster'!42:42,"AAAAAE/X9oQ=",0)</f>
        <v>0</v>
      </c>
      <c r="ED4" t="e">
        <f>AND('7th Grade Roster'!A42,"AAAAAE/X9oU=")</f>
        <v>#VALUE!</v>
      </c>
      <c r="EE4" t="e">
        <f>AND('7th Grade Roster'!B42,"AAAAAE/X9oY=")</f>
        <v>#VALUE!</v>
      </c>
      <c r="EF4" t="e">
        <f>AND('7th Grade Roster'!C42,"AAAAAE/X9oc=")</f>
        <v>#VALUE!</v>
      </c>
      <c r="EG4" t="e">
        <f>AND('7th Grade Roster'!D42,"AAAAAE/X9og=")</f>
        <v>#VALUE!</v>
      </c>
      <c r="EH4" t="e">
        <f>AND('7th Grade Roster'!E42,"AAAAAE/X9ok=")</f>
        <v>#VALUE!</v>
      </c>
      <c r="EI4" t="e">
        <f>AND('7th Grade Roster'!F42,"AAAAAE/X9oo=")</f>
        <v>#VALUE!</v>
      </c>
      <c r="EJ4" t="e">
        <f>AND('7th Grade Roster'!G42,"AAAAAE/X9os=")</f>
        <v>#VALUE!</v>
      </c>
      <c r="EK4" t="e">
        <f>AND('7th Grade Roster'!H42,"AAAAAE/X9ow=")</f>
        <v>#VALUE!</v>
      </c>
      <c r="EL4" t="e">
        <f>AND('7th Grade Roster'!I42,"AAAAAE/X9o0=")</f>
        <v>#VALUE!</v>
      </c>
      <c r="EM4" t="e">
        <f>AND('7th Grade Roster'!J42,"AAAAAE/X9o4=")</f>
        <v>#VALUE!</v>
      </c>
      <c r="EN4" t="e">
        <f>AND('7th Grade Roster'!K42,"AAAAAE/X9o8=")</f>
        <v>#VALUE!</v>
      </c>
      <c r="EO4" t="e">
        <f>AND('7th Grade Roster'!L42,"AAAAAE/X9pA=")</f>
        <v>#VALUE!</v>
      </c>
      <c r="EP4" t="e">
        <f>AND('7th Grade Roster'!M42,"AAAAAE/X9pE=")</f>
        <v>#VALUE!</v>
      </c>
      <c r="EQ4" t="e">
        <f>AND('7th Grade Roster'!N42,"AAAAAE/X9pI=")</f>
        <v>#VALUE!</v>
      </c>
      <c r="ER4" t="e">
        <f>AND('7th Grade Roster'!O42,"AAAAAE/X9pM=")</f>
        <v>#VALUE!</v>
      </c>
      <c r="ES4" t="e">
        <f>AND('7th Grade Roster'!S42,"AAAAAE/X9pQ=")</f>
        <v>#VALUE!</v>
      </c>
      <c r="ET4" t="e">
        <f>AND('7th Grade Roster'!T42,"AAAAAE/X9pU=")</f>
        <v>#VALUE!</v>
      </c>
      <c r="EU4" t="e">
        <f>AND('7th Grade Roster'!U42,"AAAAAE/X9pY=")</f>
        <v>#VALUE!</v>
      </c>
      <c r="EV4" t="e">
        <f>AND('7th Grade Roster'!V42,"AAAAAE/X9pc=")</f>
        <v>#VALUE!</v>
      </c>
      <c r="EW4">
        <f>IF('7th Grade Roster'!43:43,"AAAAAE/X9pg=",0)</f>
        <v>0</v>
      </c>
      <c r="EX4" t="e">
        <f>AND('7th Grade Roster'!A43,"AAAAAE/X9pk=")</f>
        <v>#VALUE!</v>
      </c>
      <c r="EY4" t="e">
        <f>AND('7th Grade Roster'!B43,"AAAAAE/X9po=")</f>
        <v>#VALUE!</v>
      </c>
      <c r="EZ4" t="e">
        <f>AND('7th Grade Roster'!C43,"AAAAAE/X9ps=")</f>
        <v>#VALUE!</v>
      </c>
      <c r="FA4" t="e">
        <f>AND('7th Grade Roster'!D43,"AAAAAE/X9pw=")</f>
        <v>#VALUE!</v>
      </c>
      <c r="FB4" t="e">
        <f>AND('7th Grade Roster'!E43,"AAAAAE/X9p0=")</f>
        <v>#VALUE!</v>
      </c>
      <c r="FC4" t="e">
        <f>AND('7th Grade Roster'!F43,"AAAAAE/X9p4=")</f>
        <v>#VALUE!</v>
      </c>
      <c r="FD4" t="e">
        <f>AND('7th Grade Roster'!G43,"AAAAAE/X9p8=")</f>
        <v>#VALUE!</v>
      </c>
      <c r="FE4" t="e">
        <f>AND('7th Grade Roster'!H43,"AAAAAE/X9qA=")</f>
        <v>#VALUE!</v>
      </c>
      <c r="FF4" t="e">
        <f>AND('7th Grade Roster'!I43,"AAAAAE/X9qE=")</f>
        <v>#VALUE!</v>
      </c>
      <c r="FG4" t="e">
        <f>AND('7th Grade Roster'!J43,"AAAAAE/X9qI=")</f>
        <v>#VALUE!</v>
      </c>
      <c r="FH4" t="e">
        <f>AND('7th Grade Roster'!K43,"AAAAAE/X9qM=")</f>
        <v>#VALUE!</v>
      </c>
      <c r="FI4" t="e">
        <f>AND('7th Grade Roster'!L43,"AAAAAE/X9qQ=")</f>
        <v>#VALUE!</v>
      </c>
      <c r="FJ4" t="e">
        <f>AND('7th Grade Roster'!M43,"AAAAAE/X9qU=")</f>
        <v>#VALUE!</v>
      </c>
      <c r="FK4" t="e">
        <f>AND('7th Grade Roster'!N43,"AAAAAE/X9qY=")</f>
        <v>#VALUE!</v>
      </c>
      <c r="FL4" t="e">
        <f>AND('7th Grade Roster'!O43,"AAAAAE/X9qc=")</f>
        <v>#VALUE!</v>
      </c>
      <c r="FM4" t="e">
        <f>AND('7th Grade Roster'!S43,"AAAAAE/X9qg=")</f>
        <v>#VALUE!</v>
      </c>
      <c r="FN4" t="e">
        <f>AND('7th Grade Roster'!T43,"AAAAAE/X9qk=")</f>
        <v>#VALUE!</v>
      </c>
      <c r="FO4" t="e">
        <f>AND('7th Grade Roster'!U43,"AAAAAE/X9qo=")</f>
        <v>#VALUE!</v>
      </c>
      <c r="FP4" t="e">
        <f>AND('7th Grade Roster'!V43,"AAAAAE/X9qs=")</f>
        <v>#VALUE!</v>
      </c>
      <c r="FQ4">
        <f>IF('7th Grade Roster'!44:44,"AAAAAE/X9qw=",0)</f>
        <v>0</v>
      </c>
      <c r="FR4" t="e">
        <f>AND('7th Grade Roster'!A44,"AAAAAE/X9q0=")</f>
        <v>#VALUE!</v>
      </c>
      <c r="FS4" t="e">
        <f>AND('7th Grade Roster'!B44,"AAAAAE/X9q4=")</f>
        <v>#VALUE!</v>
      </c>
      <c r="FT4" t="e">
        <f>AND('7th Grade Roster'!C44,"AAAAAE/X9q8=")</f>
        <v>#VALUE!</v>
      </c>
      <c r="FU4" t="e">
        <f>AND('7th Grade Roster'!D44,"AAAAAE/X9rA=")</f>
        <v>#VALUE!</v>
      </c>
      <c r="FV4" t="e">
        <f>AND('7th Grade Roster'!E44,"AAAAAE/X9rE=")</f>
        <v>#VALUE!</v>
      </c>
      <c r="FW4" t="e">
        <f>AND('7th Grade Roster'!F44,"AAAAAE/X9rI=")</f>
        <v>#VALUE!</v>
      </c>
      <c r="FX4" t="e">
        <f>AND('7th Grade Roster'!G44,"AAAAAE/X9rM=")</f>
        <v>#VALUE!</v>
      </c>
      <c r="FY4" t="e">
        <f>AND('7th Grade Roster'!H44,"AAAAAE/X9rQ=")</f>
        <v>#VALUE!</v>
      </c>
      <c r="FZ4" t="e">
        <f>AND('7th Grade Roster'!I44,"AAAAAE/X9rU=")</f>
        <v>#VALUE!</v>
      </c>
      <c r="GA4" t="e">
        <f>AND('7th Grade Roster'!J44,"AAAAAE/X9rY=")</f>
        <v>#VALUE!</v>
      </c>
      <c r="GB4" t="e">
        <f>AND('7th Grade Roster'!K44,"AAAAAE/X9rc=")</f>
        <v>#VALUE!</v>
      </c>
      <c r="GC4" t="e">
        <f>AND('7th Grade Roster'!L44,"AAAAAE/X9rg=")</f>
        <v>#VALUE!</v>
      </c>
      <c r="GD4" t="e">
        <f>AND('7th Grade Roster'!M44,"AAAAAE/X9rk=")</f>
        <v>#VALUE!</v>
      </c>
      <c r="GE4" t="e">
        <f>AND('7th Grade Roster'!N44,"AAAAAE/X9ro=")</f>
        <v>#VALUE!</v>
      </c>
      <c r="GF4" t="e">
        <f>AND('7th Grade Roster'!O44,"AAAAAE/X9rs=")</f>
        <v>#VALUE!</v>
      </c>
      <c r="GG4" t="e">
        <f>AND('7th Grade Roster'!S44,"AAAAAE/X9rw=")</f>
        <v>#VALUE!</v>
      </c>
      <c r="GH4" t="e">
        <f>AND('7th Grade Roster'!T44,"AAAAAE/X9r0=")</f>
        <v>#VALUE!</v>
      </c>
      <c r="GI4" t="e">
        <f>AND('7th Grade Roster'!U44,"AAAAAE/X9r4=")</f>
        <v>#VALUE!</v>
      </c>
      <c r="GJ4" t="e">
        <f>AND('7th Grade Roster'!V44,"AAAAAE/X9r8=")</f>
        <v>#VALUE!</v>
      </c>
      <c r="GK4">
        <f>IF('7th Grade Roster'!45:45,"AAAAAE/X9sA=",0)</f>
        <v>0</v>
      </c>
      <c r="GL4" t="e">
        <f>AND('7th Grade Roster'!A45,"AAAAAE/X9sE=")</f>
        <v>#VALUE!</v>
      </c>
      <c r="GM4" t="e">
        <f>AND('7th Grade Roster'!B45,"AAAAAE/X9sI=")</f>
        <v>#VALUE!</v>
      </c>
      <c r="GN4" t="e">
        <f>AND('7th Grade Roster'!C45,"AAAAAE/X9sM=")</f>
        <v>#VALUE!</v>
      </c>
      <c r="GO4" t="e">
        <f>AND('7th Grade Roster'!D45,"AAAAAE/X9sQ=")</f>
        <v>#VALUE!</v>
      </c>
      <c r="GP4" t="e">
        <f>AND('7th Grade Roster'!E45,"AAAAAE/X9sU=")</f>
        <v>#VALUE!</v>
      </c>
      <c r="GQ4" t="e">
        <f>AND('7th Grade Roster'!F45,"AAAAAE/X9sY=")</f>
        <v>#VALUE!</v>
      </c>
      <c r="GR4" t="e">
        <f>AND('7th Grade Roster'!G45,"AAAAAE/X9sc=")</f>
        <v>#VALUE!</v>
      </c>
      <c r="GS4" t="e">
        <f>AND('7th Grade Roster'!H45,"AAAAAE/X9sg=")</f>
        <v>#VALUE!</v>
      </c>
      <c r="GT4" t="e">
        <f>AND('7th Grade Roster'!I45,"AAAAAE/X9sk=")</f>
        <v>#VALUE!</v>
      </c>
      <c r="GU4" t="e">
        <f>AND('7th Grade Roster'!J45,"AAAAAE/X9so=")</f>
        <v>#VALUE!</v>
      </c>
      <c r="GV4" t="e">
        <f>AND('7th Grade Roster'!K45,"AAAAAE/X9ss=")</f>
        <v>#VALUE!</v>
      </c>
      <c r="GW4" t="e">
        <f>AND('7th Grade Roster'!L45,"AAAAAE/X9sw=")</f>
        <v>#VALUE!</v>
      </c>
      <c r="GX4" t="e">
        <f>AND('7th Grade Roster'!M45,"AAAAAE/X9s0=")</f>
        <v>#VALUE!</v>
      </c>
      <c r="GY4" t="e">
        <f>AND('7th Grade Roster'!N45,"AAAAAE/X9s4=")</f>
        <v>#VALUE!</v>
      </c>
      <c r="GZ4" t="e">
        <f>AND('7th Grade Roster'!O45,"AAAAAE/X9s8=")</f>
        <v>#VALUE!</v>
      </c>
      <c r="HA4" t="e">
        <f>AND('7th Grade Roster'!S45,"AAAAAE/X9tA=")</f>
        <v>#VALUE!</v>
      </c>
      <c r="HB4" t="e">
        <f>AND('7th Grade Roster'!T45,"AAAAAE/X9tE=")</f>
        <v>#VALUE!</v>
      </c>
      <c r="HC4" t="e">
        <f>AND('7th Grade Roster'!U45,"AAAAAE/X9tI=")</f>
        <v>#VALUE!</v>
      </c>
      <c r="HD4" t="e">
        <f>AND('7th Grade Roster'!V45,"AAAAAE/X9tM=")</f>
        <v>#VALUE!</v>
      </c>
      <c r="HE4">
        <f>IF('7th Grade Roster'!50:50,"AAAAAE/X9tQ=",0)</f>
        <v>0</v>
      </c>
      <c r="HF4" t="e">
        <f>AND('7th Grade Roster'!A50,"AAAAAE/X9tU=")</f>
        <v>#VALUE!</v>
      </c>
      <c r="HG4" t="e">
        <f>AND('7th Grade Roster'!B50,"AAAAAE/X9tY=")</f>
        <v>#VALUE!</v>
      </c>
      <c r="HH4" t="e">
        <f>AND('7th Grade Roster'!C50,"AAAAAE/X9tc=")</f>
        <v>#VALUE!</v>
      </c>
      <c r="HI4" t="e">
        <f>AND('7th Grade Roster'!D50,"AAAAAE/X9tg=")</f>
        <v>#VALUE!</v>
      </c>
      <c r="HJ4" t="e">
        <f>AND('7th Grade Roster'!E50,"AAAAAE/X9tk=")</f>
        <v>#VALUE!</v>
      </c>
      <c r="HK4" t="e">
        <f>AND('7th Grade Roster'!F50,"AAAAAE/X9to=")</f>
        <v>#VALUE!</v>
      </c>
      <c r="HL4" t="e">
        <f>AND('7th Grade Roster'!G50,"AAAAAE/X9ts=")</f>
        <v>#VALUE!</v>
      </c>
      <c r="HM4" t="e">
        <f>AND('7th Grade Roster'!H50,"AAAAAE/X9tw=")</f>
        <v>#VALUE!</v>
      </c>
      <c r="HN4" t="e">
        <f>AND('7th Grade Roster'!I50,"AAAAAE/X9t0=")</f>
        <v>#VALUE!</v>
      </c>
      <c r="HO4" t="e">
        <f>AND('7th Grade Roster'!J50,"AAAAAE/X9t4=")</f>
        <v>#VALUE!</v>
      </c>
      <c r="HP4" t="e">
        <f>AND('7th Grade Roster'!K50,"AAAAAE/X9t8=")</f>
        <v>#VALUE!</v>
      </c>
      <c r="HQ4" t="e">
        <f>AND('7th Grade Roster'!L50,"AAAAAE/X9uA=")</f>
        <v>#VALUE!</v>
      </c>
      <c r="HR4" t="e">
        <f>AND('7th Grade Roster'!M50,"AAAAAE/X9uE=")</f>
        <v>#VALUE!</v>
      </c>
      <c r="HS4" t="e">
        <f>AND('7th Grade Roster'!N50,"AAAAAE/X9uI=")</f>
        <v>#VALUE!</v>
      </c>
      <c r="HT4" t="e">
        <f>AND('7th Grade Roster'!O50,"AAAAAE/X9uM=")</f>
        <v>#VALUE!</v>
      </c>
      <c r="HU4" t="e">
        <f>AND('7th Grade Roster'!S50,"AAAAAE/X9uQ=")</f>
        <v>#VALUE!</v>
      </c>
      <c r="HV4" t="e">
        <f>AND('7th Grade Roster'!T50,"AAAAAE/X9uU=")</f>
        <v>#VALUE!</v>
      </c>
      <c r="HW4" t="e">
        <f>AND('7th Grade Roster'!U50,"AAAAAE/X9uY=")</f>
        <v>#VALUE!</v>
      </c>
      <c r="HX4" t="e">
        <f>AND('7th Grade Roster'!V50,"AAAAAE/X9uc=")</f>
        <v>#VALUE!</v>
      </c>
      <c r="HY4">
        <f>IF('7th Grade Roster'!51:51,"AAAAAE/X9ug=",0)</f>
        <v>0</v>
      </c>
      <c r="HZ4" t="e">
        <f>AND('7th Grade Roster'!A51,"AAAAAE/X9uk=")</f>
        <v>#VALUE!</v>
      </c>
      <c r="IA4" t="e">
        <f>AND('7th Grade Roster'!B51,"AAAAAE/X9uo=")</f>
        <v>#VALUE!</v>
      </c>
      <c r="IB4" t="e">
        <f>AND('7th Grade Roster'!C51,"AAAAAE/X9us=")</f>
        <v>#VALUE!</v>
      </c>
      <c r="IC4" t="e">
        <f>AND('7th Grade Roster'!D51,"AAAAAE/X9uw=")</f>
        <v>#VALUE!</v>
      </c>
      <c r="ID4" t="e">
        <f>AND('7th Grade Roster'!E51,"AAAAAE/X9u0=")</f>
        <v>#VALUE!</v>
      </c>
      <c r="IE4" t="e">
        <f>AND('7th Grade Roster'!F51,"AAAAAE/X9u4=")</f>
        <v>#VALUE!</v>
      </c>
      <c r="IF4" t="e">
        <f>AND('7th Grade Roster'!G51,"AAAAAE/X9u8=")</f>
        <v>#VALUE!</v>
      </c>
      <c r="IG4" t="e">
        <f>AND('7th Grade Roster'!H51,"AAAAAE/X9vA=")</f>
        <v>#VALUE!</v>
      </c>
      <c r="IH4" t="e">
        <f>AND('7th Grade Roster'!I51,"AAAAAE/X9vE=")</f>
        <v>#VALUE!</v>
      </c>
      <c r="II4" t="e">
        <f>AND('7th Grade Roster'!J51,"AAAAAE/X9vI=")</f>
        <v>#VALUE!</v>
      </c>
      <c r="IJ4" t="e">
        <f>AND('7th Grade Roster'!K51,"AAAAAE/X9vM=")</f>
        <v>#VALUE!</v>
      </c>
      <c r="IK4" t="e">
        <f>AND('7th Grade Roster'!L51,"AAAAAE/X9vQ=")</f>
        <v>#VALUE!</v>
      </c>
      <c r="IL4" t="e">
        <f>AND('7th Grade Roster'!M51,"AAAAAE/X9vU=")</f>
        <v>#VALUE!</v>
      </c>
      <c r="IM4" t="e">
        <f>AND('7th Grade Roster'!N51,"AAAAAE/X9vY=")</f>
        <v>#VALUE!</v>
      </c>
      <c r="IN4" t="e">
        <f>AND('7th Grade Roster'!O51,"AAAAAE/X9vc=")</f>
        <v>#VALUE!</v>
      </c>
      <c r="IO4" t="e">
        <f>AND('7th Grade Roster'!S51,"AAAAAE/X9vg=")</f>
        <v>#VALUE!</v>
      </c>
      <c r="IP4" t="e">
        <f>AND('7th Grade Roster'!T51,"AAAAAE/X9vk=")</f>
        <v>#VALUE!</v>
      </c>
      <c r="IQ4" t="e">
        <f>AND('7th Grade Roster'!U51,"AAAAAE/X9vo=")</f>
        <v>#VALUE!</v>
      </c>
      <c r="IR4" t="e">
        <f>AND('7th Grade Roster'!V51,"AAAAAE/X9vs=")</f>
        <v>#VALUE!</v>
      </c>
      <c r="IS4">
        <f>IF('7th Grade Roster'!52:52,"AAAAAE/X9vw=",0)</f>
        <v>0</v>
      </c>
      <c r="IT4" t="e">
        <f>AND('7th Grade Roster'!A52,"AAAAAE/X9v0=")</f>
        <v>#VALUE!</v>
      </c>
      <c r="IU4" t="e">
        <f>AND('7th Grade Roster'!B52,"AAAAAE/X9v4=")</f>
        <v>#VALUE!</v>
      </c>
      <c r="IV4" t="e">
        <f>AND('7th Grade Roster'!C52,"AAAAAE/X9v8=")</f>
        <v>#VALUE!</v>
      </c>
    </row>
    <row r="5" spans="1:256" x14ac:dyDescent="0.2">
      <c r="A5" t="e">
        <f>AND('7th Grade Roster'!D52,"AAAAAH/E+QA=")</f>
        <v>#VALUE!</v>
      </c>
      <c r="B5" t="e">
        <f>AND('7th Grade Roster'!E52,"AAAAAH/E+QE=")</f>
        <v>#VALUE!</v>
      </c>
      <c r="C5" t="e">
        <f>AND('7th Grade Roster'!F52,"AAAAAH/E+QI=")</f>
        <v>#VALUE!</v>
      </c>
      <c r="D5" t="e">
        <f>AND('7th Grade Roster'!G52,"AAAAAH/E+QM=")</f>
        <v>#VALUE!</v>
      </c>
      <c r="E5" t="e">
        <f>AND('7th Grade Roster'!H52,"AAAAAH/E+QQ=")</f>
        <v>#VALUE!</v>
      </c>
      <c r="F5" t="e">
        <f>AND('7th Grade Roster'!I52,"AAAAAH/E+QU=")</f>
        <v>#VALUE!</v>
      </c>
      <c r="G5" t="e">
        <f>AND('7th Grade Roster'!J52,"AAAAAH/E+QY=")</f>
        <v>#VALUE!</v>
      </c>
      <c r="H5" t="e">
        <f>AND('7th Grade Roster'!K52,"AAAAAH/E+Qc=")</f>
        <v>#VALUE!</v>
      </c>
      <c r="I5" t="e">
        <f>AND('7th Grade Roster'!L52,"AAAAAH/E+Qg=")</f>
        <v>#VALUE!</v>
      </c>
      <c r="J5" t="e">
        <f>AND('7th Grade Roster'!M52,"AAAAAH/E+Qk=")</f>
        <v>#VALUE!</v>
      </c>
      <c r="K5" t="e">
        <f>AND('7th Grade Roster'!N52,"AAAAAH/E+Qo=")</f>
        <v>#VALUE!</v>
      </c>
      <c r="L5" t="e">
        <f>AND('7th Grade Roster'!O52,"AAAAAH/E+Qs=")</f>
        <v>#VALUE!</v>
      </c>
      <c r="M5" t="e">
        <f>AND('7th Grade Roster'!S52,"AAAAAH/E+Qw=")</f>
        <v>#VALUE!</v>
      </c>
      <c r="N5" t="e">
        <f>AND('7th Grade Roster'!T52,"AAAAAH/E+Q0=")</f>
        <v>#VALUE!</v>
      </c>
      <c r="O5" t="e">
        <f>AND('7th Grade Roster'!U52,"AAAAAH/E+Q4=")</f>
        <v>#VALUE!</v>
      </c>
      <c r="P5" t="e">
        <f>AND('7th Grade Roster'!V52,"AAAAAH/E+Q8=")</f>
        <v>#VALUE!</v>
      </c>
      <c r="Q5">
        <f>IF('7th Grade Roster'!53:53,"AAAAAH/E+RA=",0)</f>
        <v>0</v>
      </c>
      <c r="R5" t="e">
        <f>AND('7th Grade Roster'!A53,"AAAAAH/E+RE=")</f>
        <v>#VALUE!</v>
      </c>
      <c r="S5" t="e">
        <f>AND('7th Grade Roster'!B53,"AAAAAH/E+RI=")</f>
        <v>#VALUE!</v>
      </c>
      <c r="T5" t="e">
        <f>AND('7th Grade Roster'!C53,"AAAAAH/E+RM=")</f>
        <v>#VALUE!</v>
      </c>
      <c r="U5" t="e">
        <f>AND('7th Grade Roster'!D53,"AAAAAH/E+RQ=")</f>
        <v>#VALUE!</v>
      </c>
      <c r="V5" t="e">
        <f>AND('7th Grade Roster'!E53,"AAAAAH/E+RU=")</f>
        <v>#VALUE!</v>
      </c>
      <c r="W5" t="e">
        <f>AND('7th Grade Roster'!F53,"AAAAAH/E+RY=")</f>
        <v>#VALUE!</v>
      </c>
      <c r="X5" t="e">
        <f>AND('7th Grade Roster'!G53,"AAAAAH/E+Rc=")</f>
        <v>#VALUE!</v>
      </c>
      <c r="Y5" t="e">
        <f>AND('7th Grade Roster'!H53,"AAAAAH/E+Rg=")</f>
        <v>#VALUE!</v>
      </c>
      <c r="Z5" t="e">
        <f>AND('7th Grade Roster'!I53,"AAAAAH/E+Rk=")</f>
        <v>#VALUE!</v>
      </c>
      <c r="AA5" t="e">
        <f>AND('7th Grade Roster'!J53,"AAAAAH/E+Ro=")</f>
        <v>#VALUE!</v>
      </c>
      <c r="AB5" t="e">
        <f>AND('7th Grade Roster'!K53,"AAAAAH/E+Rs=")</f>
        <v>#VALUE!</v>
      </c>
      <c r="AC5" t="e">
        <f>AND('7th Grade Roster'!L53,"AAAAAH/E+Rw=")</f>
        <v>#VALUE!</v>
      </c>
      <c r="AD5" t="e">
        <f>AND('7th Grade Roster'!M53,"AAAAAH/E+R0=")</f>
        <v>#VALUE!</v>
      </c>
      <c r="AE5" t="e">
        <f>AND('7th Grade Roster'!N53,"AAAAAH/E+R4=")</f>
        <v>#VALUE!</v>
      </c>
      <c r="AF5" t="e">
        <f>AND('7th Grade Roster'!O53,"AAAAAH/E+R8=")</f>
        <v>#VALUE!</v>
      </c>
      <c r="AG5" t="e">
        <f>AND('7th Grade Roster'!S53,"AAAAAH/E+SA=")</f>
        <v>#VALUE!</v>
      </c>
      <c r="AH5" t="e">
        <f>AND('7th Grade Roster'!T53,"AAAAAH/E+SE=")</f>
        <v>#VALUE!</v>
      </c>
      <c r="AI5" t="e">
        <f>AND('7th Grade Roster'!U53,"AAAAAH/E+SI=")</f>
        <v>#VALUE!</v>
      </c>
      <c r="AJ5" t="e">
        <f>AND('7th Grade Roster'!V53,"AAAAAH/E+SM=")</f>
        <v>#VALUE!</v>
      </c>
      <c r="AK5" t="e">
        <f>IF('7th Grade Roster'!#REF!,"AAAAAH/E+SQ=",0)</f>
        <v>#REF!</v>
      </c>
      <c r="AL5" t="e">
        <f>AND('7th Grade Roster'!#REF!,"AAAAAH/E+SU=")</f>
        <v>#REF!</v>
      </c>
      <c r="AM5" t="e">
        <f>AND('7th Grade Roster'!#REF!,"AAAAAH/E+SY=")</f>
        <v>#REF!</v>
      </c>
      <c r="AN5" t="e">
        <f>AND('7th Grade Roster'!#REF!,"AAAAAH/E+Sc=")</f>
        <v>#REF!</v>
      </c>
      <c r="AO5" t="e">
        <f>AND('7th Grade Roster'!#REF!,"AAAAAH/E+Sg=")</f>
        <v>#REF!</v>
      </c>
      <c r="AP5" t="e">
        <f>AND('7th Grade Roster'!#REF!,"AAAAAH/E+Sk=")</f>
        <v>#REF!</v>
      </c>
      <c r="AQ5" t="e">
        <f>AND('7th Grade Roster'!#REF!,"AAAAAH/E+So=")</f>
        <v>#REF!</v>
      </c>
      <c r="AR5" t="e">
        <f>AND('7th Grade Roster'!#REF!,"AAAAAH/E+Ss=")</f>
        <v>#REF!</v>
      </c>
      <c r="AS5" t="e">
        <f>AND('7th Grade Roster'!#REF!,"AAAAAH/E+Sw=")</f>
        <v>#REF!</v>
      </c>
      <c r="AT5" t="e">
        <f>AND('7th Grade Roster'!#REF!,"AAAAAH/E+S0=")</f>
        <v>#REF!</v>
      </c>
      <c r="AU5" t="e">
        <f>AND('7th Grade Roster'!#REF!,"AAAAAH/E+S4=")</f>
        <v>#REF!</v>
      </c>
      <c r="AV5" t="e">
        <f>AND('7th Grade Roster'!#REF!,"AAAAAH/E+S8=")</f>
        <v>#REF!</v>
      </c>
      <c r="AW5" t="e">
        <f>AND('7th Grade Roster'!#REF!,"AAAAAH/E+TA=")</f>
        <v>#REF!</v>
      </c>
      <c r="AX5" t="e">
        <f>AND('7th Grade Roster'!#REF!,"AAAAAH/E+TE=")</f>
        <v>#REF!</v>
      </c>
      <c r="AY5" t="e">
        <f>AND('7th Grade Roster'!#REF!,"AAAAAH/E+TI=")</f>
        <v>#REF!</v>
      </c>
      <c r="AZ5" t="e">
        <f>AND('7th Grade Roster'!#REF!,"AAAAAH/E+TM=")</f>
        <v>#REF!</v>
      </c>
      <c r="BA5" t="e">
        <f>AND('7th Grade Roster'!#REF!,"AAAAAH/E+TQ=")</f>
        <v>#REF!</v>
      </c>
      <c r="BB5" t="e">
        <f>AND('7th Grade Roster'!#REF!,"AAAAAH/E+TU=")</f>
        <v>#REF!</v>
      </c>
      <c r="BC5" t="e">
        <f>AND('7th Grade Roster'!#REF!,"AAAAAH/E+TY=")</f>
        <v>#REF!</v>
      </c>
      <c r="BD5" t="e">
        <f>AND('7th Grade Roster'!#REF!,"AAAAAH/E+Tc=")</f>
        <v>#REF!</v>
      </c>
      <c r="BE5">
        <f>IF('7th Grade Roster'!54:54,"AAAAAH/E+Tg=",0)</f>
        <v>0</v>
      </c>
      <c r="BF5" t="e">
        <f>AND('7th Grade Roster'!#REF!,"AAAAAH/E+Tk=")</f>
        <v>#REF!</v>
      </c>
      <c r="BG5" t="e">
        <f>AND('7th Grade Roster'!#REF!,"AAAAAH/E+To=")</f>
        <v>#REF!</v>
      </c>
      <c r="BH5" t="e">
        <f>AND('7th Grade Roster'!C54,"AAAAAH/E+Ts=")</f>
        <v>#VALUE!</v>
      </c>
      <c r="BI5" t="e">
        <f>AND('7th Grade Roster'!D54,"AAAAAH/E+Tw=")</f>
        <v>#VALUE!</v>
      </c>
      <c r="BJ5" t="e">
        <f>AND('7th Grade Roster'!E54,"AAAAAH/E+T0=")</f>
        <v>#VALUE!</v>
      </c>
      <c r="BK5" t="e">
        <f>AND('7th Grade Roster'!F54,"AAAAAH/E+T4=")</f>
        <v>#VALUE!</v>
      </c>
      <c r="BL5" t="e">
        <f>AND('7th Grade Roster'!A54,"AAAAAH/E+T8=")</f>
        <v>#VALUE!</v>
      </c>
      <c r="BM5" t="e">
        <f>AND('7th Grade Roster'!H54,"AAAAAH/E+UA=")</f>
        <v>#VALUE!</v>
      </c>
      <c r="BN5" t="e">
        <f>AND('7th Grade Roster'!I54,"AAAAAH/E+UE=")</f>
        <v>#VALUE!</v>
      </c>
      <c r="BO5" t="e">
        <f>AND('7th Grade Roster'!J54,"AAAAAH/E+UI=")</f>
        <v>#VALUE!</v>
      </c>
      <c r="BP5" t="e">
        <f>AND('7th Grade Roster'!K54,"AAAAAH/E+UM=")</f>
        <v>#VALUE!</v>
      </c>
      <c r="BQ5" t="e">
        <f>AND('7th Grade Roster'!L54,"AAAAAH/E+UQ=")</f>
        <v>#VALUE!</v>
      </c>
      <c r="BR5" t="e">
        <f>AND('7th Grade Roster'!M54,"AAAAAH/E+UU=")</f>
        <v>#VALUE!</v>
      </c>
      <c r="BS5" t="e">
        <f>AND('7th Grade Roster'!N54,"AAAAAH/E+UY=")</f>
        <v>#VALUE!</v>
      </c>
      <c r="BT5" t="e">
        <f>AND('7th Grade Roster'!O54,"AAAAAH/E+Uc=")</f>
        <v>#VALUE!</v>
      </c>
      <c r="BU5" t="e">
        <f>AND('7th Grade Roster'!S54,"AAAAAH/E+Ug=")</f>
        <v>#VALUE!</v>
      </c>
      <c r="BV5" t="e">
        <f>AND('7th Grade Roster'!T54,"AAAAAH/E+Uk=")</f>
        <v>#VALUE!</v>
      </c>
      <c r="BW5" t="e">
        <f>AND('7th Grade Roster'!U54,"AAAAAH/E+Uo=")</f>
        <v>#VALUE!</v>
      </c>
      <c r="BX5" t="e">
        <f>AND('7th Grade Roster'!V54,"AAAAAH/E+Us=")</f>
        <v>#VALUE!</v>
      </c>
      <c r="BY5" t="e">
        <f>IF('7th Grade Roster'!#REF!,"AAAAAH/E+Uw=",0)</f>
        <v>#REF!</v>
      </c>
      <c r="BZ5" t="e">
        <f>AND('7th Grade Roster'!#REF!,"AAAAAH/E+U0=")</f>
        <v>#REF!</v>
      </c>
      <c r="CA5" t="e">
        <f>AND('7th Grade Roster'!#REF!,"AAAAAH/E+U4=")</f>
        <v>#REF!</v>
      </c>
      <c r="CB5" t="e">
        <f>AND('7th Grade Roster'!#REF!,"AAAAAH/E+U8=")</f>
        <v>#REF!</v>
      </c>
      <c r="CC5" t="e">
        <f>AND('7th Grade Roster'!#REF!,"AAAAAH/E+VA=")</f>
        <v>#REF!</v>
      </c>
      <c r="CD5" t="e">
        <f>AND('7th Grade Roster'!#REF!,"AAAAAH/E+VE=")</f>
        <v>#REF!</v>
      </c>
      <c r="CE5" t="e">
        <f>AND('7th Grade Roster'!#REF!,"AAAAAH/E+VI=")</f>
        <v>#REF!</v>
      </c>
      <c r="CF5" t="e">
        <f>AND('7th Grade Roster'!#REF!,"AAAAAH/E+VM=")</f>
        <v>#REF!</v>
      </c>
      <c r="CG5" t="e">
        <f>AND('7th Grade Roster'!#REF!,"AAAAAH/E+VQ=")</f>
        <v>#REF!</v>
      </c>
      <c r="CH5" t="e">
        <f>AND('7th Grade Roster'!#REF!,"AAAAAH/E+VU=")</f>
        <v>#REF!</v>
      </c>
      <c r="CI5" t="e">
        <f>AND('7th Grade Roster'!#REF!,"AAAAAH/E+VY=")</f>
        <v>#REF!</v>
      </c>
      <c r="CJ5" t="e">
        <f>AND('7th Grade Roster'!#REF!,"AAAAAH/E+Vc=")</f>
        <v>#REF!</v>
      </c>
      <c r="CK5" t="e">
        <f>AND('7th Grade Roster'!#REF!,"AAAAAH/E+Vg=")</f>
        <v>#REF!</v>
      </c>
      <c r="CL5" t="e">
        <f>AND('7th Grade Roster'!#REF!,"AAAAAH/E+Vk=")</f>
        <v>#REF!</v>
      </c>
      <c r="CM5" t="e">
        <f>AND('7th Grade Roster'!#REF!,"AAAAAH/E+Vo=")</f>
        <v>#REF!</v>
      </c>
      <c r="CN5" t="e">
        <f>AND('7th Grade Roster'!#REF!,"AAAAAH/E+Vs=")</f>
        <v>#REF!</v>
      </c>
      <c r="CO5" t="e">
        <f>AND('7th Grade Roster'!#REF!,"AAAAAH/E+Vw=")</f>
        <v>#REF!</v>
      </c>
      <c r="CP5" t="e">
        <f>AND('7th Grade Roster'!#REF!,"AAAAAH/E+V0=")</f>
        <v>#REF!</v>
      </c>
      <c r="CQ5" t="e">
        <f>AND('7th Grade Roster'!#REF!,"AAAAAH/E+V4=")</f>
        <v>#REF!</v>
      </c>
      <c r="CR5" t="e">
        <f>AND('7th Grade Roster'!#REF!,"AAAAAH/E+V8=")</f>
        <v>#REF!</v>
      </c>
      <c r="CS5" t="e">
        <f>IF('7th Grade Roster'!#REF!,"AAAAAH/E+WA=",0)</f>
        <v>#REF!</v>
      </c>
      <c r="CT5" t="e">
        <f>AND('7th Grade Roster'!#REF!,"AAAAAH/E+WE=")</f>
        <v>#REF!</v>
      </c>
      <c r="CU5" t="e">
        <f>AND('7th Grade Roster'!#REF!,"AAAAAH/E+WI=")</f>
        <v>#REF!</v>
      </c>
      <c r="CV5" t="e">
        <f>AND('7th Grade Roster'!#REF!,"AAAAAH/E+WM=")</f>
        <v>#REF!</v>
      </c>
      <c r="CW5" t="e">
        <f>AND('7th Grade Roster'!#REF!,"AAAAAH/E+WQ=")</f>
        <v>#REF!</v>
      </c>
      <c r="CX5" t="e">
        <f>AND('7th Grade Roster'!#REF!,"AAAAAH/E+WU=")</f>
        <v>#REF!</v>
      </c>
      <c r="CY5" t="e">
        <f>AND('7th Grade Roster'!#REF!,"AAAAAH/E+WY=")</f>
        <v>#REF!</v>
      </c>
      <c r="CZ5" t="e">
        <f>AND('7th Grade Roster'!#REF!,"AAAAAH/E+Wc=")</f>
        <v>#REF!</v>
      </c>
      <c r="DA5" t="e">
        <f>AND('7th Grade Roster'!#REF!,"AAAAAH/E+Wg=")</f>
        <v>#REF!</v>
      </c>
      <c r="DB5" t="e">
        <f>AND('7th Grade Roster'!#REF!,"AAAAAH/E+Wk=")</f>
        <v>#REF!</v>
      </c>
      <c r="DC5" t="e">
        <f>AND('7th Grade Roster'!#REF!,"AAAAAH/E+Wo=")</f>
        <v>#REF!</v>
      </c>
      <c r="DD5" t="e">
        <f>AND('7th Grade Roster'!#REF!,"AAAAAH/E+Ws=")</f>
        <v>#REF!</v>
      </c>
      <c r="DE5" t="e">
        <f>AND('7th Grade Roster'!#REF!,"AAAAAH/E+Ww=")</f>
        <v>#REF!</v>
      </c>
      <c r="DF5" t="e">
        <f>AND('7th Grade Roster'!#REF!,"AAAAAH/E+W0=")</f>
        <v>#REF!</v>
      </c>
      <c r="DG5" t="e">
        <f>AND('7th Grade Roster'!#REF!,"AAAAAH/E+W4=")</f>
        <v>#REF!</v>
      </c>
      <c r="DH5" t="e">
        <f>AND('7th Grade Roster'!#REF!,"AAAAAH/E+W8=")</f>
        <v>#REF!</v>
      </c>
      <c r="DI5" t="e">
        <f>AND('7th Grade Roster'!#REF!,"AAAAAH/E+XA=")</f>
        <v>#REF!</v>
      </c>
      <c r="DJ5" t="e">
        <f>AND('7th Grade Roster'!#REF!,"AAAAAH/E+XE=")</f>
        <v>#REF!</v>
      </c>
      <c r="DK5" t="e">
        <f>AND('7th Grade Roster'!#REF!,"AAAAAH/E+XI=")</f>
        <v>#REF!</v>
      </c>
      <c r="DL5" t="e">
        <f>AND('7th Grade Roster'!#REF!,"AAAAAH/E+XM=")</f>
        <v>#REF!</v>
      </c>
      <c r="DM5">
        <f>IF('7th Grade Roster'!55:55,"AAAAAH/E+XQ=",0)</f>
        <v>0</v>
      </c>
      <c r="DN5" t="e">
        <f>AND('7th Grade Roster'!A55,"AAAAAH/E+XU=")</f>
        <v>#VALUE!</v>
      </c>
      <c r="DO5" t="e">
        <f>AND('7th Grade Roster'!B55,"AAAAAH/E+XY=")</f>
        <v>#VALUE!</v>
      </c>
      <c r="DP5" t="e">
        <f>AND('7th Grade Roster'!C55,"AAAAAH/E+Xc=")</f>
        <v>#VALUE!</v>
      </c>
      <c r="DQ5" t="e">
        <f>AND('7th Grade Roster'!D55,"AAAAAH/E+Xg=")</f>
        <v>#VALUE!</v>
      </c>
      <c r="DR5" t="e">
        <f>AND('7th Grade Roster'!E55,"AAAAAH/E+Xk=")</f>
        <v>#VALUE!</v>
      </c>
      <c r="DS5" t="e">
        <f>AND('7th Grade Roster'!F55,"AAAAAH/E+Xo=")</f>
        <v>#VALUE!</v>
      </c>
      <c r="DT5" t="e">
        <f>AND('7th Grade Roster'!G55,"AAAAAH/E+Xs=")</f>
        <v>#VALUE!</v>
      </c>
      <c r="DU5" t="e">
        <f>AND('7th Grade Roster'!H55,"AAAAAH/E+Xw=")</f>
        <v>#VALUE!</v>
      </c>
      <c r="DV5" t="e">
        <f>AND('7th Grade Roster'!I55,"AAAAAH/E+X0=")</f>
        <v>#VALUE!</v>
      </c>
      <c r="DW5" t="e">
        <f>AND('7th Grade Roster'!J55,"AAAAAH/E+X4=")</f>
        <v>#VALUE!</v>
      </c>
      <c r="DX5" t="e">
        <f>AND('7th Grade Roster'!K55,"AAAAAH/E+X8=")</f>
        <v>#VALUE!</v>
      </c>
      <c r="DY5" t="e">
        <f>AND('7th Grade Roster'!L55,"AAAAAH/E+YA=")</f>
        <v>#VALUE!</v>
      </c>
      <c r="DZ5" t="e">
        <f>AND('7th Grade Roster'!M55,"AAAAAH/E+YE=")</f>
        <v>#VALUE!</v>
      </c>
      <c r="EA5" t="e">
        <f>AND('7th Grade Roster'!N55,"AAAAAH/E+YI=")</f>
        <v>#VALUE!</v>
      </c>
      <c r="EB5" t="e">
        <f>AND('7th Grade Roster'!O55,"AAAAAH/E+YM=")</f>
        <v>#VALUE!</v>
      </c>
      <c r="EC5" t="e">
        <f>AND('7th Grade Roster'!S55,"AAAAAH/E+YQ=")</f>
        <v>#VALUE!</v>
      </c>
      <c r="ED5" t="e">
        <f>AND('7th Grade Roster'!T55,"AAAAAH/E+YU=")</f>
        <v>#VALUE!</v>
      </c>
      <c r="EE5" t="e">
        <f>AND('7th Grade Roster'!U55,"AAAAAH/E+YY=")</f>
        <v>#VALUE!</v>
      </c>
      <c r="EF5" t="e">
        <f>AND('7th Grade Roster'!V55,"AAAAAH/E+Yc=")</f>
        <v>#VALUE!</v>
      </c>
      <c r="EG5">
        <f>IF('7th Grade Roster'!56:56,"AAAAAH/E+Yg=",0)</f>
        <v>0</v>
      </c>
      <c r="EH5" t="e">
        <f>AND('7th Grade Roster'!A56,"AAAAAH/E+Yk=")</f>
        <v>#VALUE!</v>
      </c>
      <c r="EI5" t="e">
        <f>AND('7th Grade Roster'!B56,"AAAAAH/E+Yo=")</f>
        <v>#VALUE!</v>
      </c>
      <c r="EJ5" t="e">
        <f>AND('7th Grade Roster'!C56,"AAAAAH/E+Ys=")</f>
        <v>#VALUE!</v>
      </c>
      <c r="EK5" t="e">
        <f>AND('7th Grade Roster'!D56,"AAAAAH/E+Yw=")</f>
        <v>#VALUE!</v>
      </c>
      <c r="EL5" t="e">
        <f>AND('7th Grade Roster'!E56,"AAAAAH/E+Y0=")</f>
        <v>#VALUE!</v>
      </c>
      <c r="EM5" t="e">
        <f>AND('7th Grade Roster'!F56,"AAAAAH/E+Y4=")</f>
        <v>#VALUE!</v>
      </c>
      <c r="EN5" t="e">
        <f>AND('7th Grade Roster'!G56,"AAAAAH/E+Y8=")</f>
        <v>#VALUE!</v>
      </c>
      <c r="EO5" t="e">
        <f>AND('7th Grade Roster'!H56,"AAAAAH/E+ZA=")</f>
        <v>#VALUE!</v>
      </c>
      <c r="EP5" t="e">
        <f>AND('7th Grade Roster'!I56,"AAAAAH/E+ZE=")</f>
        <v>#VALUE!</v>
      </c>
      <c r="EQ5" t="e">
        <f>AND('7th Grade Roster'!J56,"AAAAAH/E+ZI=")</f>
        <v>#VALUE!</v>
      </c>
      <c r="ER5" t="e">
        <f>AND('7th Grade Roster'!K56,"AAAAAH/E+ZM=")</f>
        <v>#VALUE!</v>
      </c>
      <c r="ES5" t="e">
        <f>AND('7th Grade Roster'!L56,"AAAAAH/E+ZQ=")</f>
        <v>#VALUE!</v>
      </c>
      <c r="ET5" t="e">
        <f>AND('7th Grade Roster'!M56,"AAAAAH/E+ZU=")</f>
        <v>#VALUE!</v>
      </c>
      <c r="EU5" t="e">
        <f>AND('7th Grade Roster'!N56,"AAAAAH/E+ZY=")</f>
        <v>#VALUE!</v>
      </c>
      <c r="EV5" t="e">
        <f>AND('7th Grade Roster'!O56,"AAAAAH/E+Zc=")</f>
        <v>#VALUE!</v>
      </c>
      <c r="EW5" t="e">
        <f>AND('7th Grade Roster'!S56,"AAAAAH/E+Zg=")</f>
        <v>#VALUE!</v>
      </c>
      <c r="EX5" t="e">
        <f>AND('7th Grade Roster'!T56,"AAAAAH/E+Zk=")</f>
        <v>#VALUE!</v>
      </c>
      <c r="EY5" t="e">
        <f>AND('7th Grade Roster'!U56,"AAAAAH/E+Zo=")</f>
        <v>#VALUE!</v>
      </c>
      <c r="EZ5" t="e">
        <f>AND('7th Grade Roster'!V56,"AAAAAH/E+Zs=")</f>
        <v>#VALUE!</v>
      </c>
      <c r="FA5">
        <f>IF('7th Grade Roster'!57:57,"AAAAAH/E+Zw=",0)</f>
        <v>0</v>
      </c>
      <c r="FB5" t="e">
        <f>AND('7th Grade Roster'!A57,"AAAAAH/E+Z0=")</f>
        <v>#VALUE!</v>
      </c>
      <c r="FC5" t="e">
        <f>AND('7th Grade Roster'!B57,"AAAAAH/E+Z4=")</f>
        <v>#VALUE!</v>
      </c>
      <c r="FD5" t="e">
        <f>AND('7th Grade Roster'!C57,"AAAAAH/E+Z8=")</f>
        <v>#VALUE!</v>
      </c>
      <c r="FE5" t="e">
        <f>AND('7th Grade Roster'!D57,"AAAAAH/E+aA=")</f>
        <v>#VALUE!</v>
      </c>
      <c r="FF5" t="e">
        <f>AND('7th Grade Roster'!E57,"AAAAAH/E+aE=")</f>
        <v>#VALUE!</v>
      </c>
      <c r="FG5" t="e">
        <f>AND('7th Grade Roster'!F57,"AAAAAH/E+aI=")</f>
        <v>#VALUE!</v>
      </c>
      <c r="FH5" t="e">
        <f>AND('7th Grade Roster'!G57,"AAAAAH/E+aM=")</f>
        <v>#VALUE!</v>
      </c>
      <c r="FI5" t="e">
        <f>AND('7th Grade Roster'!H57,"AAAAAH/E+aQ=")</f>
        <v>#VALUE!</v>
      </c>
      <c r="FJ5" t="e">
        <f>AND('7th Grade Roster'!I57,"AAAAAH/E+aU=")</f>
        <v>#VALUE!</v>
      </c>
      <c r="FK5" t="e">
        <f>AND('7th Grade Roster'!J57,"AAAAAH/E+aY=")</f>
        <v>#VALUE!</v>
      </c>
      <c r="FL5" t="e">
        <f>AND('7th Grade Roster'!K57,"AAAAAH/E+ac=")</f>
        <v>#VALUE!</v>
      </c>
      <c r="FM5" t="e">
        <f>AND('7th Grade Roster'!L57,"AAAAAH/E+ag=")</f>
        <v>#VALUE!</v>
      </c>
      <c r="FN5" t="e">
        <f>AND('7th Grade Roster'!M57,"AAAAAH/E+ak=")</f>
        <v>#VALUE!</v>
      </c>
      <c r="FO5" t="e">
        <f>AND('7th Grade Roster'!N57,"AAAAAH/E+ao=")</f>
        <v>#VALUE!</v>
      </c>
      <c r="FP5" t="e">
        <f>AND('7th Grade Roster'!O57,"AAAAAH/E+as=")</f>
        <v>#VALUE!</v>
      </c>
      <c r="FQ5" t="e">
        <f>AND('7th Grade Roster'!S57,"AAAAAH/E+aw=")</f>
        <v>#VALUE!</v>
      </c>
      <c r="FR5" t="e">
        <f>AND('7th Grade Roster'!T57,"AAAAAH/E+a0=")</f>
        <v>#VALUE!</v>
      </c>
      <c r="FS5" t="e">
        <f>AND('7th Grade Roster'!U57,"AAAAAH/E+a4=")</f>
        <v>#VALUE!</v>
      </c>
      <c r="FT5" t="e">
        <f>AND('7th Grade Roster'!V57,"AAAAAH/E+a8=")</f>
        <v>#VALUE!</v>
      </c>
      <c r="FU5" t="e">
        <f>IF('7th Grade Roster'!#REF!,"AAAAAH/E+bA=",0)</f>
        <v>#REF!</v>
      </c>
      <c r="FV5" t="e">
        <f>AND('7th Grade Roster'!#REF!,"AAAAAH/E+bE=")</f>
        <v>#REF!</v>
      </c>
      <c r="FW5" t="e">
        <f>AND('7th Grade Roster'!#REF!,"AAAAAH/E+bI=")</f>
        <v>#REF!</v>
      </c>
      <c r="FX5" t="e">
        <f>AND('7th Grade Roster'!#REF!,"AAAAAH/E+bM=")</f>
        <v>#REF!</v>
      </c>
      <c r="FY5" t="e">
        <f>AND('7th Grade Roster'!#REF!,"AAAAAH/E+bQ=")</f>
        <v>#REF!</v>
      </c>
      <c r="FZ5" t="e">
        <f>AND('7th Grade Roster'!#REF!,"AAAAAH/E+bU=")</f>
        <v>#REF!</v>
      </c>
      <c r="GA5" t="e">
        <f>AND('7th Grade Roster'!#REF!,"AAAAAH/E+bY=")</f>
        <v>#REF!</v>
      </c>
      <c r="GB5" t="e">
        <f>AND('7th Grade Roster'!#REF!,"AAAAAH/E+bc=")</f>
        <v>#REF!</v>
      </c>
      <c r="GC5" t="e">
        <f>AND('7th Grade Roster'!#REF!,"AAAAAH/E+bg=")</f>
        <v>#REF!</v>
      </c>
      <c r="GD5" t="e">
        <f>AND('7th Grade Roster'!#REF!,"AAAAAH/E+bk=")</f>
        <v>#REF!</v>
      </c>
      <c r="GE5" t="e">
        <f>AND('7th Grade Roster'!#REF!,"AAAAAH/E+bo=")</f>
        <v>#REF!</v>
      </c>
      <c r="GF5" t="e">
        <f>AND('7th Grade Roster'!#REF!,"AAAAAH/E+bs=")</f>
        <v>#REF!</v>
      </c>
      <c r="GG5" t="e">
        <f>AND('7th Grade Roster'!#REF!,"AAAAAH/E+bw=")</f>
        <v>#REF!</v>
      </c>
      <c r="GH5" t="e">
        <f>AND('7th Grade Roster'!#REF!,"AAAAAH/E+b0=")</f>
        <v>#REF!</v>
      </c>
      <c r="GI5" t="e">
        <f>AND('7th Grade Roster'!#REF!,"AAAAAH/E+b4=")</f>
        <v>#REF!</v>
      </c>
      <c r="GJ5" t="e">
        <f>AND('7th Grade Roster'!#REF!,"AAAAAH/E+b8=")</f>
        <v>#REF!</v>
      </c>
      <c r="GK5" t="e">
        <f>AND('7th Grade Roster'!#REF!,"AAAAAH/E+cA=")</f>
        <v>#REF!</v>
      </c>
      <c r="GL5" t="e">
        <f>AND('7th Grade Roster'!#REF!,"AAAAAH/E+cE=")</f>
        <v>#REF!</v>
      </c>
      <c r="GM5" t="e">
        <f>AND('7th Grade Roster'!#REF!,"AAAAAH/E+cI=")</f>
        <v>#REF!</v>
      </c>
      <c r="GN5" t="e">
        <f>AND('7th Grade Roster'!#REF!,"AAAAAH/E+cM=")</f>
        <v>#REF!</v>
      </c>
      <c r="GO5" t="e">
        <f>IF('7th Grade Roster'!#REF!,"AAAAAH/E+cQ=",0)</f>
        <v>#REF!</v>
      </c>
      <c r="GP5" t="e">
        <f>AND('7th Grade Roster'!#REF!,"AAAAAH/E+cU=")</f>
        <v>#REF!</v>
      </c>
      <c r="GQ5" t="e">
        <f>AND('7th Grade Roster'!#REF!,"AAAAAH/E+cY=")</f>
        <v>#REF!</v>
      </c>
      <c r="GR5" t="e">
        <f>AND('7th Grade Roster'!#REF!,"AAAAAH/E+cc=")</f>
        <v>#REF!</v>
      </c>
      <c r="GS5" t="e">
        <f>AND('7th Grade Roster'!#REF!,"AAAAAH/E+cg=")</f>
        <v>#REF!</v>
      </c>
      <c r="GT5" t="e">
        <f>AND('7th Grade Roster'!#REF!,"AAAAAH/E+ck=")</f>
        <v>#REF!</v>
      </c>
      <c r="GU5" t="e">
        <f>AND('7th Grade Roster'!#REF!,"AAAAAH/E+co=")</f>
        <v>#REF!</v>
      </c>
      <c r="GV5" t="e">
        <f>AND('7th Grade Roster'!#REF!,"AAAAAH/E+cs=")</f>
        <v>#REF!</v>
      </c>
      <c r="GW5" t="e">
        <f>AND('7th Grade Roster'!#REF!,"AAAAAH/E+cw=")</f>
        <v>#REF!</v>
      </c>
      <c r="GX5" t="e">
        <f>AND('7th Grade Roster'!#REF!,"AAAAAH/E+c0=")</f>
        <v>#REF!</v>
      </c>
      <c r="GY5" t="e">
        <f>AND('7th Grade Roster'!#REF!,"AAAAAH/E+c4=")</f>
        <v>#REF!</v>
      </c>
      <c r="GZ5" t="e">
        <f>AND('7th Grade Roster'!#REF!,"AAAAAH/E+c8=")</f>
        <v>#REF!</v>
      </c>
      <c r="HA5" t="e">
        <f>AND('7th Grade Roster'!#REF!,"AAAAAH/E+dA=")</f>
        <v>#REF!</v>
      </c>
      <c r="HB5" t="e">
        <f>AND('7th Grade Roster'!#REF!,"AAAAAH/E+dE=")</f>
        <v>#REF!</v>
      </c>
      <c r="HC5" t="e">
        <f>AND('7th Grade Roster'!#REF!,"AAAAAH/E+dI=")</f>
        <v>#REF!</v>
      </c>
      <c r="HD5" t="e">
        <f>AND('7th Grade Roster'!#REF!,"AAAAAH/E+dM=")</f>
        <v>#REF!</v>
      </c>
      <c r="HE5" t="e">
        <f>AND('7th Grade Roster'!#REF!,"AAAAAH/E+dQ=")</f>
        <v>#REF!</v>
      </c>
      <c r="HF5" t="e">
        <f>AND('7th Grade Roster'!#REF!,"AAAAAH/E+dU=")</f>
        <v>#REF!</v>
      </c>
      <c r="HG5" t="e">
        <f>AND('7th Grade Roster'!#REF!,"AAAAAH/E+dY=")</f>
        <v>#REF!</v>
      </c>
      <c r="HH5" t="e">
        <f>AND('7th Grade Roster'!#REF!,"AAAAAH/E+dc=")</f>
        <v>#REF!</v>
      </c>
      <c r="HI5" t="e">
        <f>IF('7th Grade Roster'!#REF!,"AAAAAH/E+dg=",0)</f>
        <v>#REF!</v>
      </c>
      <c r="HJ5" t="e">
        <f>AND('7th Grade Roster'!#REF!,"AAAAAH/E+dk=")</f>
        <v>#REF!</v>
      </c>
      <c r="HK5" t="e">
        <f>AND('7th Grade Roster'!#REF!,"AAAAAH/E+do=")</f>
        <v>#REF!</v>
      </c>
      <c r="HL5" t="e">
        <f>AND('7th Grade Roster'!#REF!,"AAAAAH/E+ds=")</f>
        <v>#REF!</v>
      </c>
      <c r="HM5" t="e">
        <f>AND('7th Grade Roster'!#REF!,"AAAAAH/E+dw=")</f>
        <v>#REF!</v>
      </c>
      <c r="HN5" t="e">
        <f>AND('7th Grade Roster'!#REF!,"AAAAAH/E+d0=")</f>
        <v>#REF!</v>
      </c>
      <c r="HO5" t="e">
        <f>AND('7th Grade Roster'!#REF!,"AAAAAH/E+d4=")</f>
        <v>#REF!</v>
      </c>
      <c r="HP5" t="e">
        <f>AND('7th Grade Roster'!#REF!,"AAAAAH/E+d8=")</f>
        <v>#REF!</v>
      </c>
      <c r="HQ5" t="e">
        <f>AND('7th Grade Roster'!#REF!,"AAAAAH/E+eA=")</f>
        <v>#REF!</v>
      </c>
      <c r="HR5" t="e">
        <f>AND('7th Grade Roster'!#REF!,"AAAAAH/E+eE=")</f>
        <v>#REF!</v>
      </c>
      <c r="HS5" t="e">
        <f>AND('7th Grade Roster'!#REF!,"AAAAAH/E+eI=")</f>
        <v>#REF!</v>
      </c>
      <c r="HT5" t="e">
        <f>AND('7th Grade Roster'!#REF!,"AAAAAH/E+eM=")</f>
        <v>#REF!</v>
      </c>
      <c r="HU5" t="e">
        <f>AND('7th Grade Roster'!#REF!,"AAAAAH/E+eQ=")</f>
        <v>#REF!</v>
      </c>
      <c r="HV5" t="e">
        <f>AND('7th Grade Roster'!#REF!,"AAAAAH/E+eU=")</f>
        <v>#REF!</v>
      </c>
      <c r="HW5" t="e">
        <f>AND('7th Grade Roster'!#REF!,"AAAAAH/E+eY=")</f>
        <v>#REF!</v>
      </c>
      <c r="HX5" t="e">
        <f>AND('7th Grade Roster'!#REF!,"AAAAAH/E+ec=")</f>
        <v>#REF!</v>
      </c>
      <c r="HY5" t="e">
        <f>AND('7th Grade Roster'!#REF!,"AAAAAH/E+eg=")</f>
        <v>#REF!</v>
      </c>
      <c r="HZ5" t="e">
        <f>AND('7th Grade Roster'!#REF!,"AAAAAH/E+ek=")</f>
        <v>#REF!</v>
      </c>
      <c r="IA5" t="e">
        <f>AND('7th Grade Roster'!#REF!,"AAAAAH/E+eo=")</f>
        <v>#REF!</v>
      </c>
      <c r="IB5" t="e">
        <f>AND('7th Grade Roster'!#REF!,"AAAAAH/E+es=")</f>
        <v>#REF!</v>
      </c>
      <c r="IC5">
        <f>IF('7th Grade Roster'!58:58,"AAAAAH/E+ew=",0)</f>
        <v>0</v>
      </c>
      <c r="ID5" t="e">
        <f>AND('7th Grade Roster'!A58,"AAAAAH/E+e0=")</f>
        <v>#VALUE!</v>
      </c>
      <c r="IE5" t="e">
        <f>AND('7th Grade Roster'!B58,"AAAAAH/E+e4=")</f>
        <v>#VALUE!</v>
      </c>
      <c r="IF5" t="e">
        <f>AND('7th Grade Roster'!C58,"AAAAAH/E+e8=")</f>
        <v>#VALUE!</v>
      </c>
      <c r="IG5" t="e">
        <f>AND('7th Grade Roster'!D58,"AAAAAH/E+fA=")</f>
        <v>#VALUE!</v>
      </c>
      <c r="IH5" t="e">
        <f>AND('7th Grade Roster'!E58,"AAAAAH/E+fE=")</f>
        <v>#VALUE!</v>
      </c>
      <c r="II5" t="e">
        <f>AND('7th Grade Roster'!F58,"AAAAAH/E+fI=")</f>
        <v>#VALUE!</v>
      </c>
      <c r="IJ5" t="e">
        <f>AND('7th Grade Roster'!G58,"AAAAAH/E+fM=")</f>
        <v>#VALUE!</v>
      </c>
      <c r="IK5" t="e">
        <f>AND('7th Grade Roster'!H58,"AAAAAH/E+fQ=")</f>
        <v>#VALUE!</v>
      </c>
      <c r="IL5" t="e">
        <f>AND('7th Grade Roster'!I58,"AAAAAH/E+fU=")</f>
        <v>#VALUE!</v>
      </c>
      <c r="IM5" t="e">
        <f>AND('7th Grade Roster'!J58,"AAAAAH/E+fY=")</f>
        <v>#VALUE!</v>
      </c>
      <c r="IN5" t="e">
        <f>AND('7th Grade Roster'!K58,"AAAAAH/E+fc=")</f>
        <v>#VALUE!</v>
      </c>
      <c r="IO5" t="e">
        <f>AND('7th Grade Roster'!L58,"AAAAAH/E+fg=")</f>
        <v>#VALUE!</v>
      </c>
      <c r="IP5" t="e">
        <f>AND('7th Grade Roster'!M58,"AAAAAH/E+fk=")</f>
        <v>#VALUE!</v>
      </c>
      <c r="IQ5" t="e">
        <f>AND('7th Grade Roster'!N58,"AAAAAH/E+fo=")</f>
        <v>#VALUE!</v>
      </c>
      <c r="IR5" t="e">
        <f>AND('7th Grade Roster'!O58,"AAAAAH/E+fs=")</f>
        <v>#VALUE!</v>
      </c>
      <c r="IS5" t="e">
        <f>AND('7th Grade Roster'!S58,"AAAAAH/E+fw=")</f>
        <v>#VALUE!</v>
      </c>
      <c r="IT5" t="e">
        <f>AND('7th Grade Roster'!T58,"AAAAAH/E+f0=")</f>
        <v>#VALUE!</v>
      </c>
      <c r="IU5" t="e">
        <f>AND('7th Grade Roster'!U58,"AAAAAH/E+f4=")</f>
        <v>#VALUE!</v>
      </c>
      <c r="IV5" t="e">
        <f>AND('7th Grade Roster'!V58,"AAAAAH/E+f8=")</f>
        <v>#VALUE!</v>
      </c>
    </row>
    <row r="6" spans="1:256" x14ac:dyDescent="0.2">
      <c r="A6" t="e">
        <f>IF('7th Grade Roster'!A:A,"AAAAAH//8QA=",0)</f>
        <v>#VALUE!</v>
      </c>
      <c r="B6">
        <f>IF('7th Grade Roster'!B:B,"AAAAAH//8QE=",0)</f>
        <v>0</v>
      </c>
      <c r="C6">
        <f>IF('7th Grade Roster'!C:C,"AAAAAH//8QI=",0)</f>
        <v>0</v>
      </c>
      <c r="D6">
        <f>IF('7th Grade Roster'!D:D,"AAAAAH//8QM=",0)</f>
        <v>0</v>
      </c>
      <c r="E6">
        <f>IF('7th Grade Roster'!E:E,"AAAAAH//8QQ=",0)</f>
        <v>0</v>
      </c>
      <c r="F6">
        <f>IF('7th Grade Roster'!F:F,"AAAAAH//8QU=",0)</f>
        <v>0</v>
      </c>
      <c r="G6" t="e">
        <f>IF('7th Grade Roster'!G:G,"AAAAAH//8QY=",0)</f>
        <v>#VALUE!</v>
      </c>
      <c r="H6">
        <f>IF('7th Grade Roster'!H:H,"AAAAAH//8Qc=",0)</f>
        <v>0</v>
      </c>
      <c r="I6">
        <f>IF('7th Grade Roster'!I:I,"AAAAAH//8Qg=",0)</f>
        <v>0</v>
      </c>
      <c r="J6">
        <f>IF('7th Grade Roster'!J:J,"AAAAAH//8Qk=",0)</f>
        <v>0</v>
      </c>
      <c r="K6">
        <f>IF('7th Grade Roster'!K:K,"AAAAAH//8Qo=",0)</f>
        <v>0</v>
      </c>
      <c r="L6">
        <f>IF('7th Grade Roster'!L:L,"AAAAAH//8Qs=",0)</f>
        <v>0</v>
      </c>
      <c r="M6">
        <f>IF('7th Grade Roster'!M:M,"AAAAAH//8Qw=",0)</f>
        <v>0</v>
      </c>
      <c r="N6">
        <f>IF('7th Grade Roster'!N:N,"AAAAAH//8Q0=",0)</f>
        <v>0</v>
      </c>
      <c r="O6">
        <f>IF('7th Grade Roster'!O:O,"AAAAAH//8Q4=",0)</f>
        <v>0</v>
      </c>
      <c r="P6">
        <f>IF('7th Grade Roster'!S:S,"AAAAAH//8Q8=",0)</f>
        <v>0</v>
      </c>
      <c r="Q6">
        <f>IF('7th Grade Roster'!T:T,"AAAAAH//8RA=",0)</f>
        <v>0</v>
      </c>
      <c r="R6">
        <f>IF('7th Grade Roster'!U:U,"AAAAAH//8RE=",0)</f>
        <v>0</v>
      </c>
      <c r="S6">
        <f>IF('7th Grade Roster'!V:V,"AAAAAH//8RI=",0)</f>
        <v>0</v>
      </c>
      <c r="T6" t="e">
        <f>IF(#REF!,"AAAAAH//8RM=",0)</f>
        <v>#REF!</v>
      </c>
      <c r="U6" t="e">
        <f>AND(#REF!,"AAAAAH//8RQ=")</f>
        <v>#REF!</v>
      </c>
      <c r="V6" t="e">
        <f>AND(#REF!,"AAAAAH//8RU=")</f>
        <v>#REF!</v>
      </c>
      <c r="W6" t="e">
        <f>AND(#REF!,"AAAAAH//8RY=")</f>
        <v>#REF!</v>
      </c>
      <c r="X6" t="e">
        <f>AND(#REF!,"AAAAAH//8Rc=")</f>
        <v>#REF!</v>
      </c>
      <c r="Y6" t="e">
        <f>AND(#REF!,"AAAAAH//8Rg=")</f>
        <v>#REF!</v>
      </c>
      <c r="Z6" t="e">
        <f>AND(#REF!,"AAAAAH//8Rk=")</f>
        <v>#REF!</v>
      </c>
      <c r="AA6" t="e">
        <f>AND(#REF!,"AAAAAH//8Ro=")</f>
        <v>#REF!</v>
      </c>
      <c r="AB6" t="e">
        <f>AND(#REF!,"AAAAAH//8Rs=")</f>
        <v>#REF!</v>
      </c>
      <c r="AC6" t="e">
        <f>AND(#REF!,"AAAAAH//8Rw=")</f>
        <v>#REF!</v>
      </c>
      <c r="AD6" t="e">
        <f>AND(#REF!,"AAAAAH//8R0=")</f>
        <v>#REF!</v>
      </c>
      <c r="AE6" t="e">
        <f>AND(#REF!,"AAAAAH//8R4=")</f>
        <v>#REF!</v>
      </c>
      <c r="AF6" t="e">
        <f>AND(#REF!,"AAAAAH//8R8=")</f>
        <v>#REF!</v>
      </c>
      <c r="AG6" t="e">
        <f>AND(#REF!,"AAAAAH//8SA=")</f>
        <v>#REF!</v>
      </c>
      <c r="AH6" t="e">
        <f>AND(#REF!,"AAAAAH//8SE=")</f>
        <v>#REF!</v>
      </c>
      <c r="AI6" t="e">
        <f>IF(#REF!,"AAAAAH//8SI=",0)</f>
        <v>#REF!</v>
      </c>
      <c r="AJ6" t="e">
        <f>AND(#REF!,"AAAAAH//8SM=")</f>
        <v>#REF!</v>
      </c>
      <c r="AK6" t="e">
        <f>AND(#REF!,"AAAAAH//8SQ=")</f>
        <v>#REF!</v>
      </c>
      <c r="AL6" t="e">
        <f>AND(#REF!,"AAAAAH//8SU=")</f>
        <v>#REF!</v>
      </c>
      <c r="AM6" t="e">
        <f>AND(#REF!,"AAAAAH//8SY=")</f>
        <v>#REF!</v>
      </c>
      <c r="AN6" t="e">
        <f>AND(#REF!,"AAAAAH//8Sc=")</f>
        <v>#REF!</v>
      </c>
      <c r="AO6" t="e">
        <f>AND(#REF!,"AAAAAH//8Sg=")</f>
        <v>#REF!</v>
      </c>
      <c r="AP6" t="e">
        <f>AND(#REF!,"AAAAAH//8Sk=")</f>
        <v>#REF!</v>
      </c>
      <c r="AQ6" t="e">
        <f>AND(#REF!,"AAAAAH//8So=")</f>
        <v>#REF!</v>
      </c>
      <c r="AR6" t="e">
        <f>AND(#REF!,"AAAAAH//8Ss=")</f>
        <v>#REF!</v>
      </c>
      <c r="AS6" t="e">
        <f>AND(#REF!,"AAAAAH//8Sw=")</f>
        <v>#REF!</v>
      </c>
      <c r="AT6" t="e">
        <f>AND(#REF!,"AAAAAH//8S0=")</f>
        <v>#REF!</v>
      </c>
      <c r="AU6" t="e">
        <f>AND(#REF!,"AAAAAH//8S4=")</f>
        <v>#REF!</v>
      </c>
      <c r="AV6" t="e">
        <f>AND(#REF!,"AAAAAH//8S8=")</f>
        <v>#REF!</v>
      </c>
      <c r="AW6" t="e">
        <f>AND(#REF!,"AAAAAH//8TA=")</f>
        <v>#REF!</v>
      </c>
      <c r="AX6" t="e">
        <f>IF(#REF!,"AAAAAH//8TE=",0)</f>
        <v>#REF!</v>
      </c>
      <c r="AY6" t="e">
        <f>AND(#REF!,"AAAAAH//8TI=")</f>
        <v>#REF!</v>
      </c>
      <c r="AZ6" t="e">
        <f>AND(#REF!,"AAAAAH//8TM=")</f>
        <v>#REF!</v>
      </c>
      <c r="BA6" t="e">
        <f>AND(#REF!,"AAAAAH//8TQ=")</f>
        <v>#REF!</v>
      </c>
      <c r="BB6" t="e">
        <f>AND(#REF!,"AAAAAH//8TU=")</f>
        <v>#REF!</v>
      </c>
      <c r="BC6" t="e">
        <f>AND(#REF!,"AAAAAH//8TY=")</f>
        <v>#REF!</v>
      </c>
      <c r="BD6" t="e">
        <f>AND(#REF!,"AAAAAH//8Tc=")</f>
        <v>#REF!</v>
      </c>
      <c r="BE6" t="e">
        <f>AND(#REF!,"AAAAAH//8Tg=")</f>
        <v>#REF!</v>
      </c>
      <c r="BF6" t="e">
        <f>AND(#REF!,"AAAAAH//8Tk=")</f>
        <v>#REF!</v>
      </c>
      <c r="BG6" t="e">
        <f>AND(#REF!,"AAAAAH//8To=")</f>
        <v>#REF!</v>
      </c>
      <c r="BH6" t="e">
        <f>AND(#REF!,"AAAAAH//8Ts=")</f>
        <v>#REF!</v>
      </c>
      <c r="BI6" t="e">
        <f>AND(#REF!,"AAAAAH//8Tw=")</f>
        <v>#REF!</v>
      </c>
      <c r="BJ6" t="e">
        <f>AND(#REF!,"AAAAAH//8T0=")</f>
        <v>#REF!</v>
      </c>
      <c r="BK6" t="e">
        <f>AND(#REF!,"AAAAAH//8T4=")</f>
        <v>#REF!</v>
      </c>
      <c r="BL6" t="e">
        <f>AND(#REF!,"AAAAAH//8T8=")</f>
        <v>#REF!</v>
      </c>
      <c r="BM6" t="e">
        <f>IF(#REF!,"AAAAAH//8UA=",0)</f>
        <v>#REF!</v>
      </c>
      <c r="BN6" t="e">
        <f>AND(#REF!,"AAAAAH//8UE=")</f>
        <v>#REF!</v>
      </c>
      <c r="BO6" t="e">
        <f>AND(#REF!,"AAAAAH//8UI=")</f>
        <v>#REF!</v>
      </c>
      <c r="BP6" t="e">
        <f>AND(#REF!,"AAAAAH//8UM=")</f>
        <v>#REF!</v>
      </c>
      <c r="BQ6" t="e">
        <f>AND(#REF!,"AAAAAH//8UQ=")</f>
        <v>#REF!</v>
      </c>
      <c r="BR6" t="e">
        <f>AND(#REF!,"AAAAAH//8UU=")</f>
        <v>#REF!</v>
      </c>
      <c r="BS6" t="e">
        <f>AND(#REF!,"AAAAAH//8UY=")</f>
        <v>#REF!</v>
      </c>
      <c r="BT6" t="e">
        <f>AND(#REF!,"AAAAAH//8Uc=")</f>
        <v>#REF!</v>
      </c>
      <c r="BU6" t="e">
        <f>AND(#REF!,"AAAAAH//8Ug=")</f>
        <v>#REF!</v>
      </c>
      <c r="BV6" t="e">
        <f>AND(#REF!,"AAAAAH//8Uk=")</f>
        <v>#REF!</v>
      </c>
      <c r="BW6" t="e">
        <f>AND(#REF!,"AAAAAH//8Uo=")</f>
        <v>#REF!</v>
      </c>
      <c r="BX6" t="e">
        <f>AND(#REF!,"AAAAAH//8Us=")</f>
        <v>#REF!</v>
      </c>
      <c r="BY6" t="e">
        <f>AND(#REF!,"AAAAAH//8Uw=")</f>
        <v>#REF!</v>
      </c>
      <c r="BZ6" t="e">
        <f>AND(#REF!,"AAAAAH//8U0=")</f>
        <v>#REF!</v>
      </c>
      <c r="CA6" t="e">
        <f>AND(#REF!,"AAAAAH//8U4=")</f>
        <v>#REF!</v>
      </c>
      <c r="CB6" t="e">
        <f>IF(#REF!,"AAAAAH//8U8=",0)</f>
        <v>#REF!</v>
      </c>
      <c r="CC6" t="e">
        <f>AND(#REF!,"AAAAAH//8VA=")</f>
        <v>#REF!</v>
      </c>
      <c r="CD6" t="e">
        <f>AND(#REF!,"AAAAAH//8VE=")</f>
        <v>#REF!</v>
      </c>
      <c r="CE6" t="e">
        <f>AND(#REF!,"AAAAAH//8VI=")</f>
        <v>#REF!</v>
      </c>
      <c r="CF6" t="e">
        <f>AND(#REF!,"AAAAAH//8VM=")</f>
        <v>#REF!</v>
      </c>
      <c r="CG6" t="e">
        <f>AND(#REF!,"AAAAAH//8VQ=")</f>
        <v>#REF!</v>
      </c>
      <c r="CH6" t="e">
        <f>AND(#REF!,"AAAAAH//8VU=")</f>
        <v>#REF!</v>
      </c>
      <c r="CI6" t="e">
        <f>AND(#REF!,"AAAAAH//8VY=")</f>
        <v>#REF!</v>
      </c>
      <c r="CJ6" t="e">
        <f>AND(#REF!,"AAAAAH//8Vc=")</f>
        <v>#REF!</v>
      </c>
      <c r="CK6" t="e">
        <f>AND(#REF!,"AAAAAH//8Vg=")</f>
        <v>#REF!</v>
      </c>
      <c r="CL6" t="e">
        <f>AND(#REF!,"AAAAAH//8Vk=")</f>
        <v>#REF!</v>
      </c>
      <c r="CM6" t="e">
        <f>AND(#REF!,"AAAAAH//8Vo=")</f>
        <v>#REF!</v>
      </c>
      <c r="CN6" t="e">
        <f>AND(#REF!,"AAAAAH//8Vs=")</f>
        <v>#REF!</v>
      </c>
      <c r="CO6" t="e">
        <f>AND(#REF!,"AAAAAH//8Vw=")</f>
        <v>#REF!</v>
      </c>
      <c r="CP6" t="e">
        <f>AND(#REF!,"AAAAAH//8V0=")</f>
        <v>#REF!</v>
      </c>
      <c r="CQ6" t="e">
        <f>IF(#REF!,"AAAAAH//8V4=",0)</f>
        <v>#REF!</v>
      </c>
      <c r="CR6" t="e">
        <f>AND(#REF!,"AAAAAH//8V8=")</f>
        <v>#REF!</v>
      </c>
      <c r="CS6" t="e">
        <f>AND(#REF!,"AAAAAH//8WA=")</f>
        <v>#REF!</v>
      </c>
      <c r="CT6" t="e">
        <f>AND(#REF!,"AAAAAH//8WE=")</f>
        <v>#REF!</v>
      </c>
      <c r="CU6" t="e">
        <f>AND(#REF!,"AAAAAH//8WI=")</f>
        <v>#REF!</v>
      </c>
      <c r="CV6" t="e">
        <f>AND(#REF!,"AAAAAH//8WM=")</f>
        <v>#REF!</v>
      </c>
      <c r="CW6" t="e">
        <f>AND(#REF!,"AAAAAH//8WQ=")</f>
        <v>#REF!</v>
      </c>
      <c r="CX6" t="e">
        <f>AND(#REF!,"AAAAAH//8WU=")</f>
        <v>#REF!</v>
      </c>
      <c r="CY6" t="e">
        <f>AND(#REF!,"AAAAAH//8WY=")</f>
        <v>#REF!</v>
      </c>
      <c r="CZ6" t="e">
        <f>AND(#REF!,"AAAAAH//8Wc=")</f>
        <v>#REF!</v>
      </c>
      <c r="DA6" t="e">
        <f>AND(#REF!,"AAAAAH//8Wg=")</f>
        <v>#REF!</v>
      </c>
      <c r="DB6" t="e">
        <f>AND(#REF!,"AAAAAH//8Wk=")</f>
        <v>#REF!</v>
      </c>
      <c r="DC6" t="e">
        <f>AND(#REF!,"AAAAAH//8Wo=")</f>
        <v>#REF!</v>
      </c>
      <c r="DD6" t="e">
        <f>AND(#REF!,"AAAAAH//8Ws=")</f>
        <v>#REF!</v>
      </c>
      <c r="DE6" t="e">
        <f>AND(#REF!,"AAAAAH//8Ww=")</f>
        <v>#REF!</v>
      </c>
      <c r="DF6" t="e">
        <f>IF(#REF!,"AAAAAH//8W0=",0)</f>
        <v>#REF!</v>
      </c>
      <c r="DG6" t="e">
        <f>AND(#REF!,"AAAAAH//8W4=")</f>
        <v>#REF!</v>
      </c>
      <c r="DH6" t="e">
        <f>AND(#REF!,"AAAAAH//8W8=")</f>
        <v>#REF!</v>
      </c>
      <c r="DI6" t="e">
        <f>AND(#REF!,"AAAAAH//8XA=")</f>
        <v>#REF!</v>
      </c>
      <c r="DJ6" t="e">
        <f>AND(#REF!,"AAAAAH//8XE=")</f>
        <v>#REF!</v>
      </c>
      <c r="DK6" t="e">
        <f>AND(#REF!,"AAAAAH//8XI=")</f>
        <v>#REF!</v>
      </c>
      <c r="DL6" t="e">
        <f>AND(#REF!,"AAAAAH//8XM=")</f>
        <v>#REF!</v>
      </c>
      <c r="DM6" t="e">
        <f>AND(#REF!,"AAAAAH//8XQ=")</f>
        <v>#REF!</v>
      </c>
      <c r="DN6" t="e">
        <f>AND(#REF!,"AAAAAH//8XU=")</f>
        <v>#REF!</v>
      </c>
      <c r="DO6" t="e">
        <f>AND(#REF!,"AAAAAH//8XY=")</f>
        <v>#REF!</v>
      </c>
      <c r="DP6" t="e">
        <f>AND(#REF!,"AAAAAH//8Xc=")</f>
        <v>#REF!</v>
      </c>
      <c r="DQ6" t="e">
        <f>AND(#REF!,"AAAAAH//8Xg=")</f>
        <v>#REF!</v>
      </c>
      <c r="DR6" t="e">
        <f>AND(#REF!,"AAAAAH//8Xk=")</f>
        <v>#REF!</v>
      </c>
      <c r="DS6" t="e">
        <f>AND(#REF!,"AAAAAH//8Xo=")</f>
        <v>#REF!</v>
      </c>
      <c r="DT6" t="e">
        <f>AND(#REF!,"AAAAAH//8Xs=")</f>
        <v>#REF!</v>
      </c>
      <c r="DU6" t="e">
        <f>IF(#REF!,"AAAAAH//8Xw=",0)</f>
        <v>#REF!</v>
      </c>
      <c r="DV6" t="e">
        <f>AND(#REF!,"AAAAAH//8X0=")</f>
        <v>#REF!</v>
      </c>
      <c r="DW6" t="e">
        <f>AND(#REF!,"AAAAAH//8X4=")</f>
        <v>#REF!</v>
      </c>
      <c r="DX6" t="e">
        <f>AND(#REF!,"AAAAAH//8X8=")</f>
        <v>#REF!</v>
      </c>
      <c r="DY6" t="e">
        <f>AND(#REF!,"AAAAAH//8YA=")</f>
        <v>#REF!</v>
      </c>
      <c r="DZ6" t="e">
        <f>AND(#REF!,"AAAAAH//8YE=")</f>
        <v>#REF!</v>
      </c>
      <c r="EA6" t="e">
        <f>AND(#REF!,"AAAAAH//8YI=")</f>
        <v>#REF!</v>
      </c>
      <c r="EB6" t="e">
        <f>AND(#REF!,"AAAAAH//8YM=")</f>
        <v>#REF!</v>
      </c>
      <c r="EC6" t="e">
        <f>AND(#REF!,"AAAAAH//8YQ=")</f>
        <v>#REF!</v>
      </c>
      <c r="ED6" t="e">
        <f>AND(#REF!,"AAAAAH//8YU=")</f>
        <v>#REF!</v>
      </c>
      <c r="EE6" t="e">
        <f>AND(#REF!,"AAAAAH//8YY=")</f>
        <v>#REF!</v>
      </c>
      <c r="EF6" t="e">
        <f>AND(#REF!,"AAAAAH//8Yc=")</f>
        <v>#REF!</v>
      </c>
      <c r="EG6" t="e">
        <f>AND(#REF!,"AAAAAH//8Yg=")</f>
        <v>#REF!</v>
      </c>
      <c r="EH6" t="e">
        <f>AND(#REF!,"AAAAAH//8Yk=")</f>
        <v>#REF!</v>
      </c>
      <c r="EI6" t="e">
        <f>AND(#REF!,"AAAAAH//8Yo=")</f>
        <v>#REF!</v>
      </c>
      <c r="EJ6" t="e">
        <f>IF(#REF!,"AAAAAH//8Ys=",0)</f>
        <v>#REF!</v>
      </c>
      <c r="EK6" t="e">
        <f>AND(#REF!,"AAAAAH//8Yw=")</f>
        <v>#REF!</v>
      </c>
      <c r="EL6" t="e">
        <f>AND(#REF!,"AAAAAH//8Y0=")</f>
        <v>#REF!</v>
      </c>
      <c r="EM6" t="e">
        <f>AND(#REF!,"AAAAAH//8Y4=")</f>
        <v>#REF!</v>
      </c>
      <c r="EN6" t="e">
        <f>AND(#REF!,"AAAAAH//8Y8=")</f>
        <v>#REF!</v>
      </c>
      <c r="EO6" t="e">
        <f>AND(#REF!,"AAAAAH//8ZA=")</f>
        <v>#REF!</v>
      </c>
      <c r="EP6" t="e">
        <f>AND(#REF!,"AAAAAH//8ZE=")</f>
        <v>#REF!</v>
      </c>
      <c r="EQ6" t="e">
        <f>AND(#REF!,"AAAAAH//8ZI=")</f>
        <v>#REF!</v>
      </c>
      <c r="ER6" t="e">
        <f>AND(#REF!,"AAAAAH//8ZM=")</f>
        <v>#REF!</v>
      </c>
      <c r="ES6" t="e">
        <f>AND(#REF!,"AAAAAH//8ZQ=")</f>
        <v>#REF!</v>
      </c>
      <c r="ET6" t="e">
        <f>AND(#REF!,"AAAAAH//8ZU=")</f>
        <v>#REF!</v>
      </c>
      <c r="EU6" t="e">
        <f>AND(#REF!,"AAAAAH//8ZY=")</f>
        <v>#REF!</v>
      </c>
      <c r="EV6" t="e">
        <f>AND(#REF!,"AAAAAH//8Zc=")</f>
        <v>#REF!</v>
      </c>
      <c r="EW6" t="e">
        <f>AND(#REF!,"AAAAAH//8Zg=")</f>
        <v>#REF!</v>
      </c>
      <c r="EX6" t="e">
        <f>AND(#REF!,"AAAAAH//8Zk=")</f>
        <v>#REF!</v>
      </c>
      <c r="EY6" t="e">
        <f>IF(#REF!,"AAAAAH//8Zo=",0)</f>
        <v>#REF!</v>
      </c>
      <c r="EZ6" t="e">
        <f>AND(#REF!,"AAAAAH//8Zs=")</f>
        <v>#REF!</v>
      </c>
      <c r="FA6" t="e">
        <f>AND(#REF!,"AAAAAH//8Zw=")</f>
        <v>#REF!</v>
      </c>
      <c r="FB6" t="e">
        <f>AND(#REF!,"AAAAAH//8Z0=")</f>
        <v>#REF!</v>
      </c>
      <c r="FC6" t="e">
        <f>AND(#REF!,"AAAAAH//8Z4=")</f>
        <v>#REF!</v>
      </c>
      <c r="FD6" t="e">
        <f>AND(#REF!,"AAAAAH//8Z8=")</f>
        <v>#REF!</v>
      </c>
      <c r="FE6" t="e">
        <f>AND(#REF!,"AAAAAH//8aA=")</f>
        <v>#REF!</v>
      </c>
      <c r="FF6" t="e">
        <f>AND(#REF!,"AAAAAH//8aE=")</f>
        <v>#REF!</v>
      </c>
      <c r="FG6" t="e">
        <f>AND(#REF!,"AAAAAH//8aI=")</f>
        <v>#REF!</v>
      </c>
      <c r="FH6" t="e">
        <f>AND(#REF!,"AAAAAH//8aM=")</f>
        <v>#REF!</v>
      </c>
      <c r="FI6" t="e">
        <f>AND(#REF!,"AAAAAH//8aQ=")</f>
        <v>#REF!</v>
      </c>
      <c r="FJ6" t="e">
        <f>AND(#REF!,"AAAAAH//8aU=")</f>
        <v>#REF!</v>
      </c>
      <c r="FK6" t="e">
        <f>AND(#REF!,"AAAAAH//8aY=")</f>
        <v>#REF!</v>
      </c>
      <c r="FL6" t="e">
        <f>AND(#REF!,"AAAAAH//8ac=")</f>
        <v>#REF!</v>
      </c>
      <c r="FM6" t="e">
        <f>AND(#REF!,"AAAAAH//8ag=")</f>
        <v>#REF!</v>
      </c>
      <c r="FN6" t="e">
        <f>IF(#REF!,"AAAAAH//8ak=",0)</f>
        <v>#REF!</v>
      </c>
      <c r="FO6" t="e">
        <f>AND(#REF!,"AAAAAH//8ao=")</f>
        <v>#REF!</v>
      </c>
      <c r="FP6" t="e">
        <f>AND(#REF!,"AAAAAH//8as=")</f>
        <v>#REF!</v>
      </c>
      <c r="FQ6" t="e">
        <f>AND(#REF!,"AAAAAH//8aw=")</f>
        <v>#REF!</v>
      </c>
      <c r="FR6" t="e">
        <f>AND(#REF!,"AAAAAH//8a0=")</f>
        <v>#REF!</v>
      </c>
      <c r="FS6" t="e">
        <f>AND(#REF!,"AAAAAH//8a4=")</f>
        <v>#REF!</v>
      </c>
      <c r="FT6" t="e">
        <f>AND(#REF!,"AAAAAH//8a8=")</f>
        <v>#REF!</v>
      </c>
      <c r="FU6" t="e">
        <f>AND(#REF!,"AAAAAH//8bA=")</f>
        <v>#REF!</v>
      </c>
      <c r="FV6" t="e">
        <f>AND(#REF!,"AAAAAH//8bE=")</f>
        <v>#REF!</v>
      </c>
      <c r="FW6" t="e">
        <f>AND(#REF!,"AAAAAH//8bI=")</f>
        <v>#REF!</v>
      </c>
      <c r="FX6" t="e">
        <f>AND(#REF!,"AAAAAH//8bM=")</f>
        <v>#REF!</v>
      </c>
      <c r="FY6" t="e">
        <f>AND(#REF!,"AAAAAH//8bQ=")</f>
        <v>#REF!</v>
      </c>
      <c r="FZ6" t="e">
        <f>AND(#REF!,"AAAAAH//8bU=")</f>
        <v>#REF!</v>
      </c>
      <c r="GA6" t="e">
        <f>AND(#REF!,"AAAAAH//8bY=")</f>
        <v>#REF!</v>
      </c>
      <c r="GB6" t="e">
        <f>AND(#REF!,"AAAAAH//8bc=")</f>
        <v>#REF!</v>
      </c>
      <c r="GC6" t="e">
        <f>IF(#REF!,"AAAAAH//8bg=",0)</f>
        <v>#REF!</v>
      </c>
      <c r="GD6" t="e">
        <f>AND(#REF!,"AAAAAH//8bk=")</f>
        <v>#REF!</v>
      </c>
      <c r="GE6" t="e">
        <f>AND(#REF!,"AAAAAH//8bo=")</f>
        <v>#REF!</v>
      </c>
      <c r="GF6" t="e">
        <f>AND(#REF!,"AAAAAH//8bs=")</f>
        <v>#REF!</v>
      </c>
      <c r="GG6" t="e">
        <f>AND(#REF!,"AAAAAH//8bw=")</f>
        <v>#REF!</v>
      </c>
      <c r="GH6" t="e">
        <f>AND(#REF!,"AAAAAH//8b0=")</f>
        <v>#REF!</v>
      </c>
      <c r="GI6" t="e">
        <f>AND(#REF!,"AAAAAH//8b4=")</f>
        <v>#REF!</v>
      </c>
      <c r="GJ6" t="e">
        <f>AND(#REF!,"AAAAAH//8b8=")</f>
        <v>#REF!</v>
      </c>
      <c r="GK6" t="e">
        <f>AND(#REF!,"AAAAAH//8cA=")</f>
        <v>#REF!</v>
      </c>
      <c r="GL6" t="e">
        <f>AND(#REF!,"AAAAAH//8cE=")</f>
        <v>#REF!</v>
      </c>
      <c r="GM6" t="e">
        <f>AND(#REF!,"AAAAAH//8cI=")</f>
        <v>#REF!</v>
      </c>
      <c r="GN6" t="e">
        <f>AND(#REF!,"AAAAAH//8cM=")</f>
        <v>#REF!</v>
      </c>
      <c r="GO6" t="e">
        <f>AND(#REF!,"AAAAAH//8cQ=")</f>
        <v>#REF!</v>
      </c>
      <c r="GP6" t="e">
        <f>AND(#REF!,"AAAAAH//8cU=")</f>
        <v>#REF!</v>
      </c>
      <c r="GQ6" t="e">
        <f>AND(#REF!,"AAAAAH//8cY=")</f>
        <v>#REF!</v>
      </c>
      <c r="GR6" t="e">
        <f>IF(#REF!,"AAAAAH//8cc=",0)</f>
        <v>#REF!</v>
      </c>
      <c r="GS6" t="e">
        <f>AND(#REF!,"AAAAAH//8cg=")</f>
        <v>#REF!</v>
      </c>
      <c r="GT6" t="e">
        <f>AND(#REF!,"AAAAAH//8ck=")</f>
        <v>#REF!</v>
      </c>
      <c r="GU6" t="e">
        <f>AND(#REF!,"AAAAAH//8co=")</f>
        <v>#REF!</v>
      </c>
      <c r="GV6" t="e">
        <f>AND(#REF!,"AAAAAH//8cs=")</f>
        <v>#REF!</v>
      </c>
      <c r="GW6" t="e">
        <f>AND(#REF!,"AAAAAH//8cw=")</f>
        <v>#REF!</v>
      </c>
      <c r="GX6" t="e">
        <f>AND(#REF!,"AAAAAH//8c0=")</f>
        <v>#REF!</v>
      </c>
      <c r="GY6" t="e">
        <f>AND(#REF!,"AAAAAH//8c4=")</f>
        <v>#REF!</v>
      </c>
      <c r="GZ6" t="e">
        <f>AND(#REF!,"AAAAAH//8c8=")</f>
        <v>#REF!</v>
      </c>
      <c r="HA6" t="e">
        <f>AND(#REF!,"AAAAAH//8dA=")</f>
        <v>#REF!</v>
      </c>
      <c r="HB6" t="e">
        <f>AND(#REF!,"AAAAAH//8dE=")</f>
        <v>#REF!</v>
      </c>
      <c r="HC6" t="e">
        <f>AND(#REF!,"AAAAAH//8dI=")</f>
        <v>#REF!</v>
      </c>
      <c r="HD6" t="e">
        <f>AND(#REF!,"AAAAAH//8dM=")</f>
        <v>#REF!</v>
      </c>
      <c r="HE6" t="e">
        <f>AND(#REF!,"AAAAAH//8dQ=")</f>
        <v>#REF!</v>
      </c>
      <c r="HF6" t="e">
        <f>AND(#REF!,"AAAAAH//8dU=")</f>
        <v>#REF!</v>
      </c>
      <c r="HG6" t="e">
        <f>IF(#REF!,"AAAAAH//8dY=",0)</f>
        <v>#REF!</v>
      </c>
      <c r="HH6" t="e">
        <f>AND(#REF!,"AAAAAH//8dc=")</f>
        <v>#REF!</v>
      </c>
      <c r="HI6" t="e">
        <f>AND(#REF!,"AAAAAH//8dg=")</f>
        <v>#REF!</v>
      </c>
      <c r="HJ6" t="e">
        <f>AND(#REF!,"AAAAAH//8dk=")</f>
        <v>#REF!</v>
      </c>
      <c r="HK6" t="e">
        <f>AND(#REF!,"AAAAAH//8do=")</f>
        <v>#REF!</v>
      </c>
      <c r="HL6" t="e">
        <f>AND(#REF!,"AAAAAH//8ds=")</f>
        <v>#REF!</v>
      </c>
      <c r="HM6" t="e">
        <f>AND(#REF!,"AAAAAH//8dw=")</f>
        <v>#REF!</v>
      </c>
      <c r="HN6" t="e">
        <f>AND(#REF!,"AAAAAH//8d0=")</f>
        <v>#REF!</v>
      </c>
      <c r="HO6" t="e">
        <f>AND(#REF!,"AAAAAH//8d4=")</f>
        <v>#REF!</v>
      </c>
      <c r="HP6" t="e">
        <f>AND(#REF!,"AAAAAH//8d8=")</f>
        <v>#REF!</v>
      </c>
      <c r="HQ6" t="e">
        <f>AND(#REF!,"AAAAAH//8eA=")</f>
        <v>#REF!</v>
      </c>
      <c r="HR6" t="e">
        <f>AND(#REF!,"AAAAAH//8eE=")</f>
        <v>#REF!</v>
      </c>
      <c r="HS6" t="e">
        <f>AND(#REF!,"AAAAAH//8eI=")</f>
        <v>#REF!</v>
      </c>
      <c r="HT6" t="e">
        <f>AND(#REF!,"AAAAAH//8eM=")</f>
        <v>#REF!</v>
      </c>
      <c r="HU6" t="e">
        <f>AND(#REF!,"AAAAAH//8eQ=")</f>
        <v>#REF!</v>
      </c>
      <c r="HV6" t="e">
        <f>IF(#REF!,"AAAAAH//8eU=",0)</f>
        <v>#REF!</v>
      </c>
      <c r="HW6" t="e">
        <f>AND(#REF!,"AAAAAH//8eY=")</f>
        <v>#REF!</v>
      </c>
      <c r="HX6" t="e">
        <f>AND(#REF!,"AAAAAH//8ec=")</f>
        <v>#REF!</v>
      </c>
      <c r="HY6" t="e">
        <f>AND(#REF!,"AAAAAH//8eg=")</f>
        <v>#REF!</v>
      </c>
      <c r="HZ6" t="e">
        <f>AND(#REF!,"AAAAAH//8ek=")</f>
        <v>#REF!</v>
      </c>
      <c r="IA6" t="e">
        <f>AND(#REF!,"AAAAAH//8eo=")</f>
        <v>#REF!</v>
      </c>
      <c r="IB6" t="e">
        <f>AND(#REF!,"AAAAAH//8es=")</f>
        <v>#REF!</v>
      </c>
      <c r="IC6" t="e">
        <f>AND(#REF!,"AAAAAH//8ew=")</f>
        <v>#REF!</v>
      </c>
      <c r="ID6" t="e">
        <f>AND(#REF!,"AAAAAH//8e0=")</f>
        <v>#REF!</v>
      </c>
      <c r="IE6" t="e">
        <f>AND(#REF!,"AAAAAH//8e4=")</f>
        <v>#REF!</v>
      </c>
      <c r="IF6" t="e">
        <f>AND(#REF!,"AAAAAH//8e8=")</f>
        <v>#REF!</v>
      </c>
      <c r="IG6" t="e">
        <f>AND(#REF!,"AAAAAH//8fA=")</f>
        <v>#REF!</v>
      </c>
      <c r="IH6" t="e">
        <f>AND(#REF!,"AAAAAH//8fE=")</f>
        <v>#REF!</v>
      </c>
      <c r="II6" t="e">
        <f>AND(#REF!,"AAAAAH//8fI=")</f>
        <v>#REF!</v>
      </c>
      <c r="IJ6" t="e">
        <f>AND(#REF!,"AAAAAH//8fM=")</f>
        <v>#REF!</v>
      </c>
      <c r="IK6" t="e">
        <f>IF(#REF!,"AAAAAH//8fQ=",0)</f>
        <v>#REF!</v>
      </c>
      <c r="IL6" t="e">
        <f>AND(#REF!,"AAAAAH//8fU=")</f>
        <v>#REF!</v>
      </c>
      <c r="IM6" t="e">
        <f>AND(#REF!,"AAAAAH//8fY=")</f>
        <v>#REF!</v>
      </c>
      <c r="IN6" t="e">
        <f>AND(#REF!,"AAAAAH//8fc=")</f>
        <v>#REF!</v>
      </c>
      <c r="IO6" t="e">
        <f>AND(#REF!,"AAAAAH//8fg=")</f>
        <v>#REF!</v>
      </c>
      <c r="IP6" t="e">
        <f>AND(#REF!,"AAAAAH//8fk=")</f>
        <v>#REF!</v>
      </c>
      <c r="IQ6" t="e">
        <f>AND(#REF!,"AAAAAH//8fo=")</f>
        <v>#REF!</v>
      </c>
      <c r="IR6" t="e">
        <f>AND(#REF!,"AAAAAH//8fs=")</f>
        <v>#REF!</v>
      </c>
      <c r="IS6" t="e">
        <f>AND(#REF!,"AAAAAH//8fw=")</f>
        <v>#REF!</v>
      </c>
      <c r="IT6" t="e">
        <f>AND(#REF!,"AAAAAH//8f0=")</f>
        <v>#REF!</v>
      </c>
      <c r="IU6" t="e">
        <f>AND(#REF!,"AAAAAH//8f4=")</f>
        <v>#REF!</v>
      </c>
      <c r="IV6" t="e">
        <f>AND(#REF!,"AAAAAH//8f8=")</f>
        <v>#REF!</v>
      </c>
    </row>
    <row r="7" spans="1:256" x14ac:dyDescent="0.2">
      <c r="A7" t="e">
        <f>AND(#REF!,"AAAAAGfxoQA=")</f>
        <v>#REF!</v>
      </c>
      <c r="B7" t="e">
        <f>AND(#REF!,"AAAAAGfxoQE=")</f>
        <v>#REF!</v>
      </c>
      <c r="C7" t="e">
        <f>AND(#REF!,"AAAAAGfxoQI=")</f>
        <v>#REF!</v>
      </c>
      <c r="D7" t="e">
        <f>IF(#REF!,"AAAAAGfxoQM=",0)</f>
        <v>#REF!</v>
      </c>
      <c r="E7" t="e">
        <f>AND(#REF!,"AAAAAGfxoQQ=")</f>
        <v>#REF!</v>
      </c>
      <c r="F7" t="e">
        <f>AND(#REF!,"AAAAAGfxoQU=")</f>
        <v>#REF!</v>
      </c>
      <c r="G7" t="e">
        <f>AND(#REF!,"AAAAAGfxoQY=")</f>
        <v>#REF!</v>
      </c>
      <c r="H7" t="e">
        <f>AND(#REF!,"AAAAAGfxoQc=")</f>
        <v>#REF!</v>
      </c>
      <c r="I7" t="e">
        <f>AND(#REF!,"AAAAAGfxoQg=")</f>
        <v>#REF!</v>
      </c>
      <c r="J7" t="e">
        <f>AND(#REF!,"AAAAAGfxoQk=")</f>
        <v>#REF!</v>
      </c>
      <c r="K7" t="e">
        <f>AND(#REF!,"AAAAAGfxoQo=")</f>
        <v>#REF!</v>
      </c>
      <c r="L7" t="e">
        <f>AND(#REF!,"AAAAAGfxoQs=")</f>
        <v>#REF!</v>
      </c>
      <c r="M7" t="e">
        <f>AND(#REF!,"AAAAAGfxoQw=")</f>
        <v>#REF!</v>
      </c>
      <c r="N7" t="e">
        <f>AND(#REF!,"AAAAAGfxoQ0=")</f>
        <v>#REF!</v>
      </c>
      <c r="O7" t="e">
        <f>AND(#REF!,"AAAAAGfxoQ4=")</f>
        <v>#REF!</v>
      </c>
      <c r="P7" t="e">
        <f>AND(#REF!,"AAAAAGfxoQ8=")</f>
        <v>#REF!</v>
      </c>
      <c r="Q7" t="e">
        <f>AND(#REF!,"AAAAAGfxoRA=")</f>
        <v>#REF!</v>
      </c>
      <c r="R7" t="e">
        <f>AND(#REF!,"AAAAAGfxoRE=")</f>
        <v>#REF!</v>
      </c>
      <c r="S7" t="e">
        <f>IF(#REF!,"AAAAAGfxoRI=",0)</f>
        <v>#REF!</v>
      </c>
      <c r="T7" t="e">
        <f>AND(#REF!,"AAAAAGfxoRM=")</f>
        <v>#REF!</v>
      </c>
      <c r="U7" t="e">
        <f>AND(#REF!,"AAAAAGfxoRQ=")</f>
        <v>#REF!</v>
      </c>
      <c r="V7" t="e">
        <f>AND(#REF!,"AAAAAGfxoRU=")</f>
        <v>#REF!</v>
      </c>
      <c r="W7" t="e">
        <f>AND(#REF!,"AAAAAGfxoRY=")</f>
        <v>#REF!</v>
      </c>
      <c r="X7" t="e">
        <f>AND(#REF!,"AAAAAGfxoRc=")</f>
        <v>#REF!</v>
      </c>
      <c r="Y7" t="e">
        <f>AND(#REF!,"AAAAAGfxoRg=")</f>
        <v>#REF!</v>
      </c>
      <c r="Z7" t="e">
        <f>AND(#REF!,"AAAAAGfxoRk=")</f>
        <v>#REF!</v>
      </c>
      <c r="AA7" t="e">
        <f>AND(#REF!,"AAAAAGfxoRo=")</f>
        <v>#REF!</v>
      </c>
      <c r="AB7" t="e">
        <f>AND(#REF!,"AAAAAGfxoRs=")</f>
        <v>#REF!</v>
      </c>
      <c r="AC7" t="e">
        <f>AND(#REF!,"AAAAAGfxoRw=")</f>
        <v>#REF!</v>
      </c>
      <c r="AD7" t="e">
        <f>AND(#REF!,"AAAAAGfxoR0=")</f>
        <v>#REF!</v>
      </c>
      <c r="AE7" t="e">
        <f>AND(#REF!,"AAAAAGfxoR4=")</f>
        <v>#REF!</v>
      </c>
      <c r="AF7" t="e">
        <f>AND(#REF!,"AAAAAGfxoR8=")</f>
        <v>#REF!</v>
      </c>
      <c r="AG7" t="e">
        <f>AND(#REF!,"AAAAAGfxoSA=")</f>
        <v>#REF!</v>
      </c>
      <c r="AH7" t="e">
        <f>IF(#REF!,"AAAAAGfxoSE=",0)</f>
        <v>#REF!</v>
      </c>
      <c r="AI7" t="e">
        <f>AND(#REF!,"AAAAAGfxoSI=")</f>
        <v>#REF!</v>
      </c>
      <c r="AJ7" t="e">
        <f>AND(#REF!,"AAAAAGfxoSM=")</f>
        <v>#REF!</v>
      </c>
      <c r="AK7" t="e">
        <f>AND(#REF!,"AAAAAGfxoSQ=")</f>
        <v>#REF!</v>
      </c>
      <c r="AL7" t="e">
        <f>AND(#REF!,"AAAAAGfxoSU=")</f>
        <v>#REF!</v>
      </c>
      <c r="AM7" t="e">
        <f>AND(#REF!,"AAAAAGfxoSY=")</f>
        <v>#REF!</v>
      </c>
      <c r="AN7" t="e">
        <f>AND(#REF!,"AAAAAGfxoSc=")</f>
        <v>#REF!</v>
      </c>
      <c r="AO7" t="e">
        <f>AND(#REF!,"AAAAAGfxoSg=")</f>
        <v>#REF!</v>
      </c>
      <c r="AP7" t="e">
        <f>AND(#REF!,"AAAAAGfxoSk=")</f>
        <v>#REF!</v>
      </c>
      <c r="AQ7" t="e">
        <f>AND(#REF!,"AAAAAGfxoSo=")</f>
        <v>#REF!</v>
      </c>
      <c r="AR7" t="e">
        <f>AND(#REF!,"AAAAAGfxoSs=")</f>
        <v>#REF!</v>
      </c>
      <c r="AS7" t="e">
        <f>AND(#REF!,"AAAAAGfxoSw=")</f>
        <v>#REF!</v>
      </c>
      <c r="AT7" t="e">
        <f>AND(#REF!,"AAAAAGfxoS0=")</f>
        <v>#REF!</v>
      </c>
      <c r="AU7" t="e">
        <f>AND(#REF!,"AAAAAGfxoS4=")</f>
        <v>#REF!</v>
      </c>
      <c r="AV7" t="e">
        <f>AND(#REF!,"AAAAAGfxoS8=")</f>
        <v>#REF!</v>
      </c>
      <c r="AW7" t="e">
        <f>IF(#REF!,"AAAAAGfxoTA=",0)</f>
        <v>#REF!</v>
      </c>
      <c r="AX7" t="e">
        <f>AND(#REF!,"AAAAAGfxoTE=")</f>
        <v>#REF!</v>
      </c>
      <c r="AY7" t="e">
        <f>AND(#REF!,"AAAAAGfxoTI=")</f>
        <v>#REF!</v>
      </c>
      <c r="AZ7" t="e">
        <f>AND(#REF!,"AAAAAGfxoTM=")</f>
        <v>#REF!</v>
      </c>
      <c r="BA7" t="e">
        <f>AND(#REF!,"AAAAAGfxoTQ=")</f>
        <v>#REF!</v>
      </c>
      <c r="BB7" t="e">
        <f>AND(#REF!,"AAAAAGfxoTU=")</f>
        <v>#REF!</v>
      </c>
      <c r="BC7" t="e">
        <f>AND(#REF!,"AAAAAGfxoTY=")</f>
        <v>#REF!</v>
      </c>
      <c r="BD7" t="e">
        <f>AND(#REF!,"AAAAAGfxoTc=")</f>
        <v>#REF!</v>
      </c>
      <c r="BE7" t="e">
        <f>AND(#REF!,"AAAAAGfxoTg=")</f>
        <v>#REF!</v>
      </c>
      <c r="BF7" t="e">
        <f>AND(#REF!,"AAAAAGfxoTk=")</f>
        <v>#REF!</v>
      </c>
      <c r="BG7" t="e">
        <f>AND(#REF!,"AAAAAGfxoTo=")</f>
        <v>#REF!</v>
      </c>
      <c r="BH7" t="e">
        <f>AND(#REF!,"AAAAAGfxoTs=")</f>
        <v>#REF!</v>
      </c>
      <c r="BI7" t="e">
        <f>AND(#REF!,"AAAAAGfxoTw=")</f>
        <v>#REF!</v>
      </c>
      <c r="BJ7" t="e">
        <f>AND(#REF!,"AAAAAGfxoT0=")</f>
        <v>#REF!</v>
      </c>
      <c r="BK7" t="e">
        <f>AND(#REF!,"AAAAAGfxoT4=")</f>
        <v>#REF!</v>
      </c>
      <c r="BL7" t="e">
        <f>IF(#REF!,"AAAAAGfxoT8=",0)</f>
        <v>#REF!</v>
      </c>
      <c r="BM7" t="e">
        <f>AND(#REF!,"AAAAAGfxoUA=")</f>
        <v>#REF!</v>
      </c>
      <c r="BN7" t="e">
        <f>AND(#REF!,"AAAAAGfxoUE=")</f>
        <v>#REF!</v>
      </c>
      <c r="BO7" t="e">
        <f>AND(#REF!,"AAAAAGfxoUI=")</f>
        <v>#REF!</v>
      </c>
      <c r="BP7" t="e">
        <f>AND(#REF!,"AAAAAGfxoUM=")</f>
        <v>#REF!</v>
      </c>
      <c r="BQ7" t="e">
        <f>AND(#REF!,"AAAAAGfxoUQ=")</f>
        <v>#REF!</v>
      </c>
      <c r="BR7" t="e">
        <f>AND(#REF!,"AAAAAGfxoUU=")</f>
        <v>#REF!</v>
      </c>
      <c r="BS7" t="e">
        <f>AND(#REF!,"AAAAAGfxoUY=")</f>
        <v>#REF!</v>
      </c>
      <c r="BT7" t="e">
        <f>AND(#REF!,"AAAAAGfxoUc=")</f>
        <v>#REF!</v>
      </c>
      <c r="BU7" t="e">
        <f>AND(#REF!,"AAAAAGfxoUg=")</f>
        <v>#REF!</v>
      </c>
      <c r="BV7" t="e">
        <f>AND(#REF!,"AAAAAGfxoUk=")</f>
        <v>#REF!</v>
      </c>
      <c r="BW7" t="e">
        <f>AND(#REF!,"AAAAAGfxoUo=")</f>
        <v>#REF!</v>
      </c>
      <c r="BX7" t="e">
        <f>AND(#REF!,"AAAAAGfxoUs=")</f>
        <v>#REF!</v>
      </c>
      <c r="BY7" t="e">
        <f>AND(#REF!,"AAAAAGfxoUw=")</f>
        <v>#REF!</v>
      </c>
      <c r="BZ7" t="e">
        <f>AND(#REF!,"AAAAAGfxoU0=")</f>
        <v>#REF!</v>
      </c>
      <c r="CA7" t="e">
        <f>IF(#REF!,"AAAAAGfxoU4=",0)</f>
        <v>#REF!</v>
      </c>
      <c r="CB7" t="e">
        <f>AND(#REF!,"AAAAAGfxoU8=")</f>
        <v>#REF!</v>
      </c>
      <c r="CC7" t="e">
        <f>AND(#REF!,"AAAAAGfxoVA=")</f>
        <v>#REF!</v>
      </c>
      <c r="CD7" t="e">
        <f>AND(#REF!,"AAAAAGfxoVE=")</f>
        <v>#REF!</v>
      </c>
      <c r="CE7" t="e">
        <f>AND(#REF!,"AAAAAGfxoVI=")</f>
        <v>#REF!</v>
      </c>
      <c r="CF7" t="e">
        <f>AND(#REF!,"AAAAAGfxoVM=")</f>
        <v>#REF!</v>
      </c>
      <c r="CG7" t="e">
        <f>AND(#REF!,"AAAAAGfxoVQ=")</f>
        <v>#REF!</v>
      </c>
      <c r="CH7" t="e">
        <f>AND(#REF!,"AAAAAGfxoVU=")</f>
        <v>#REF!</v>
      </c>
      <c r="CI7" t="e">
        <f>AND(#REF!,"AAAAAGfxoVY=")</f>
        <v>#REF!</v>
      </c>
      <c r="CJ7" t="e">
        <f>AND(#REF!,"AAAAAGfxoVc=")</f>
        <v>#REF!</v>
      </c>
      <c r="CK7" t="e">
        <f>AND(#REF!,"AAAAAGfxoVg=")</f>
        <v>#REF!</v>
      </c>
      <c r="CL7" t="e">
        <f>AND(#REF!,"AAAAAGfxoVk=")</f>
        <v>#REF!</v>
      </c>
      <c r="CM7" t="e">
        <f>AND(#REF!,"AAAAAGfxoVo=")</f>
        <v>#REF!</v>
      </c>
      <c r="CN7" t="e">
        <f>AND(#REF!,"AAAAAGfxoVs=")</f>
        <v>#REF!</v>
      </c>
      <c r="CO7" t="e">
        <f>AND(#REF!,"AAAAAGfxoVw=")</f>
        <v>#REF!</v>
      </c>
      <c r="CP7" t="e">
        <f>IF(#REF!,"AAAAAGfxoV0=",0)</f>
        <v>#REF!</v>
      </c>
      <c r="CQ7" t="e">
        <f>AND(#REF!,"AAAAAGfxoV4=")</f>
        <v>#REF!</v>
      </c>
      <c r="CR7" t="e">
        <f>AND(#REF!,"AAAAAGfxoV8=")</f>
        <v>#REF!</v>
      </c>
      <c r="CS7" t="e">
        <f>AND(#REF!,"AAAAAGfxoWA=")</f>
        <v>#REF!</v>
      </c>
      <c r="CT7" t="e">
        <f>AND(#REF!,"AAAAAGfxoWE=")</f>
        <v>#REF!</v>
      </c>
      <c r="CU7" t="e">
        <f>AND(#REF!,"AAAAAGfxoWI=")</f>
        <v>#REF!</v>
      </c>
      <c r="CV7" t="e">
        <f>AND(#REF!,"AAAAAGfxoWM=")</f>
        <v>#REF!</v>
      </c>
      <c r="CW7" t="e">
        <f>AND(#REF!,"AAAAAGfxoWQ=")</f>
        <v>#REF!</v>
      </c>
      <c r="CX7" t="e">
        <f>AND(#REF!,"AAAAAGfxoWU=")</f>
        <v>#REF!</v>
      </c>
      <c r="CY7" t="e">
        <f>AND(#REF!,"AAAAAGfxoWY=")</f>
        <v>#REF!</v>
      </c>
      <c r="CZ7" t="e">
        <f>AND(#REF!,"AAAAAGfxoWc=")</f>
        <v>#REF!</v>
      </c>
      <c r="DA7" t="e">
        <f>AND(#REF!,"AAAAAGfxoWg=")</f>
        <v>#REF!</v>
      </c>
      <c r="DB7" t="e">
        <f>AND(#REF!,"AAAAAGfxoWk=")</f>
        <v>#REF!</v>
      </c>
      <c r="DC7" t="e">
        <f>AND(#REF!,"AAAAAGfxoWo=")</f>
        <v>#REF!</v>
      </c>
      <c r="DD7" t="e">
        <f>AND(#REF!,"AAAAAGfxoWs=")</f>
        <v>#REF!</v>
      </c>
      <c r="DE7" t="e">
        <f>IF(#REF!,"AAAAAGfxoWw=",0)</f>
        <v>#REF!</v>
      </c>
      <c r="DF7" t="e">
        <f>AND(#REF!,"AAAAAGfxoW0=")</f>
        <v>#REF!</v>
      </c>
      <c r="DG7" t="e">
        <f>AND(#REF!,"AAAAAGfxoW4=")</f>
        <v>#REF!</v>
      </c>
      <c r="DH7" t="e">
        <f>AND(#REF!,"AAAAAGfxoW8=")</f>
        <v>#REF!</v>
      </c>
      <c r="DI7" t="e">
        <f>AND(#REF!,"AAAAAGfxoXA=")</f>
        <v>#REF!</v>
      </c>
      <c r="DJ7" t="e">
        <f>AND(#REF!,"AAAAAGfxoXE=")</f>
        <v>#REF!</v>
      </c>
      <c r="DK7" t="e">
        <f>AND(#REF!,"AAAAAGfxoXI=")</f>
        <v>#REF!</v>
      </c>
      <c r="DL7" t="e">
        <f>AND(#REF!,"AAAAAGfxoXM=")</f>
        <v>#REF!</v>
      </c>
      <c r="DM7" t="e">
        <f>AND(#REF!,"AAAAAGfxoXQ=")</f>
        <v>#REF!</v>
      </c>
      <c r="DN7" t="e">
        <f>AND(#REF!,"AAAAAGfxoXU=")</f>
        <v>#REF!</v>
      </c>
      <c r="DO7" t="e">
        <f>AND(#REF!,"AAAAAGfxoXY=")</f>
        <v>#REF!</v>
      </c>
      <c r="DP7" t="e">
        <f>AND(#REF!,"AAAAAGfxoXc=")</f>
        <v>#REF!</v>
      </c>
      <c r="DQ7" t="e">
        <f>AND(#REF!,"AAAAAGfxoXg=")</f>
        <v>#REF!</v>
      </c>
      <c r="DR7" t="e">
        <f>AND(#REF!,"AAAAAGfxoXk=")</f>
        <v>#REF!</v>
      </c>
      <c r="DS7" t="e">
        <f>AND(#REF!,"AAAAAGfxoXo=")</f>
        <v>#REF!</v>
      </c>
      <c r="DT7" t="e">
        <f>IF(#REF!,"AAAAAGfxoXs=",0)</f>
        <v>#REF!</v>
      </c>
      <c r="DU7" t="e">
        <f>AND(#REF!,"AAAAAGfxoXw=")</f>
        <v>#REF!</v>
      </c>
      <c r="DV7" t="e">
        <f>AND(#REF!,"AAAAAGfxoX0=")</f>
        <v>#REF!</v>
      </c>
      <c r="DW7" t="e">
        <f>AND(#REF!,"AAAAAGfxoX4=")</f>
        <v>#REF!</v>
      </c>
      <c r="DX7" t="e">
        <f>AND(#REF!,"AAAAAGfxoX8=")</f>
        <v>#REF!</v>
      </c>
      <c r="DY7" t="e">
        <f>AND(#REF!,"AAAAAGfxoYA=")</f>
        <v>#REF!</v>
      </c>
      <c r="DZ7" t="e">
        <f>AND(#REF!,"AAAAAGfxoYE=")</f>
        <v>#REF!</v>
      </c>
      <c r="EA7" t="e">
        <f>AND(#REF!,"AAAAAGfxoYI=")</f>
        <v>#REF!</v>
      </c>
      <c r="EB7" t="e">
        <f>AND(#REF!,"AAAAAGfxoYM=")</f>
        <v>#REF!</v>
      </c>
      <c r="EC7" t="e">
        <f>AND(#REF!,"AAAAAGfxoYQ=")</f>
        <v>#REF!</v>
      </c>
      <c r="ED7" t="e">
        <f>AND(#REF!,"AAAAAGfxoYU=")</f>
        <v>#REF!</v>
      </c>
      <c r="EE7" t="e">
        <f>AND(#REF!,"AAAAAGfxoYY=")</f>
        <v>#REF!</v>
      </c>
      <c r="EF7" t="e">
        <f>AND(#REF!,"AAAAAGfxoYc=")</f>
        <v>#REF!</v>
      </c>
      <c r="EG7" t="e">
        <f>AND(#REF!,"AAAAAGfxoYg=")</f>
        <v>#REF!</v>
      </c>
      <c r="EH7" t="e">
        <f>AND(#REF!,"AAAAAGfxoYk=")</f>
        <v>#REF!</v>
      </c>
      <c r="EI7" t="e">
        <f>IF(#REF!,"AAAAAGfxoYo=",0)</f>
        <v>#REF!</v>
      </c>
      <c r="EJ7" t="e">
        <f>AND(#REF!,"AAAAAGfxoYs=")</f>
        <v>#REF!</v>
      </c>
      <c r="EK7" t="e">
        <f>AND(#REF!,"AAAAAGfxoYw=")</f>
        <v>#REF!</v>
      </c>
      <c r="EL7" t="e">
        <f>AND(#REF!,"AAAAAGfxoY0=")</f>
        <v>#REF!</v>
      </c>
      <c r="EM7" t="e">
        <f>AND(#REF!,"AAAAAGfxoY4=")</f>
        <v>#REF!</v>
      </c>
      <c r="EN7" t="e">
        <f>AND(#REF!,"AAAAAGfxoY8=")</f>
        <v>#REF!</v>
      </c>
      <c r="EO7" t="e">
        <f>AND(#REF!,"AAAAAGfxoZA=")</f>
        <v>#REF!</v>
      </c>
      <c r="EP7" t="e">
        <f>AND(#REF!,"AAAAAGfxoZE=")</f>
        <v>#REF!</v>
      </c>
      <c r="EQ7" t="e">
        <f>AND(#REF!,"AAAAAGfxoZI=")</f>
        <v>#REF!</v>
      </c>
      <c r="ER7" t="e">
        <f>AND(#REF!,"AAAAAGfxoZM=")</f>
        <v>#REF!</v>
      </c>
      <c r="ES7" t="e">
        <f>AND(#REF!,"AAAAAGfxoZQ=")</f>
        <v>#REF!</v>
      </c>
      <c r="ET7" t="e">
        <f>AND(#REF!,"AAAAAGfxoZU=")</f>
        <v>#REF!</v>
      </c>
      <c r="EU7" t="e">
        <f>AND(#REF!,"AAAAAGfxoZY=")</f>
        <v>#REF!</v>
      </c>
      <c r="EV7" t="e">
        <f>AND(#REF!,"AAAAAGfxoZc=")</f>
        <v>#REF!</v>
      </c>
      <c r="EW7" t="e">
        <f>AND(#REF!,"AAAAAGfxoZg=")</f>
        <v>#REF!</v>
      </c>
      <c r="EX7" t="e">
        <f>IF(#REF!,"AAAAAGfxoZk=",0)</f>
        <v>#REF!</v>
      </c>
      <c r="EY7" t="e">
        <f>AND(#REF!,"AAAAAGfxoZo=")</f>
        <v>#REF!</v>
      </c>
      <c r="EZ7" t="e">
        <f>AND(#REF!,"AAAAAGfxoZs=")</f>
        <v>#REF!</v>
      </c>
      <c r="FA7" t="e">
        <f>AND(#REF!,"AAAAAGfxoZw=")</f>
        <v>#REF!</v>
      </c>
      <c r="FB7" t="e">
        <f>AND(#REF!,"AAAAAGfxoZ0=")</f>
        <v>#REF!</v>
      </c>
      <c r="FC7" t="e">
        <f>AND(#REF!,"AAAAAGfxoZ4=")</f>
        <v>#REF!</v>
      </c>
      <c r="FD7" t="e">
        <f>AND(#REF!,"AAAAAGfxoZ8=")</f>
        <v>#REF!</v>
      </c>
      <c r="FE7" t="e">
        <f>AND(#REF!,"AAAAAGfxoaA=")</f>
        <v>#REF!</v>
      </c>
      <c r="FF7" t="e">
        <f>AND(#REF!,"AAAAAGfxoaE=")</f>
        <v>#REF!</v>
      </c>
      <c r="FG7" t="e">
        <f>AND(#REF!,"AAAAAGfxoaI=")</f>
        <v>#REF!</v>
      </c>
      <c r="FH7" t="e">
        <f>AND(#REF!,"AAAAAGfxoaM=")</f>
        <v>#REF!</v>
      </c>
      <c r="FI7" t="e">
        <f>AND(#REF!,"AAAAAGfxoaQ=")</f>
        <v>#REF!</v>
      </c>
      <c r="FJ7" t="e">
        <f>AND(#REF!,"AAAAAGfxoaU=")</f>
        <v>#REF!</v>
      </c>
      <c r="FK7" t="e">
        <f>AND(#REF!,"AAAAAGfxoaY=")</f>
        <v>#REF!</v>
      </c>
      <c r="FL7" t="e">
        <f>AND(#REF!,"AAAAAGfxoac=")</f>
        <v>#REF!</v>
      </c>
      <c r="FM7" t="e">
        <f>IF(#REF!,"AAAAAGfxoag=",0)</f>
        <v>#REF!</v>
      </c>
      <c r="FN7" t="e">
        <f>AND(#REF!,"AAAAAGfxoak=")</f>
        <v>#REF!</v>
      </c>
      <c r="FO7" t="e">
        <f>AND(#REF!,"AAAAAGfxoao=")</f>
        <v>#REF!</v>
      </c>
      <c r="FP7" t="e">
        <f>AND(#REF!,"AAAAAGfxoas=")</f>
        <v>#REF!</v>
      </c>
      <c r="FQ7" t="e">
        <f>AND(#REF!,"AAAAAGfxoaw=")</f>
        <v>#REF!</v>
      </c>
      <c r="FR7" t="e">
        <f>AND(#REF!,"AAAAAGfxoa0=")</f>
        <v>#REF!</v>
      </c>
      <c r="FS7" t="e">
        <f>AND(#REF!,"AAAAAGfxoa4=")</f>
        <v>#REF!</v>
      </c>
      <c r="FT7" t="e">
        <f>AND(#REF!,"AAAAAGfxoa8=")</f>
        <v>#REF!</v>
      </c>
      <c r="FU7" t="e">
        <f>AND(#REF!,"AAAAAGfxobA=")</f>
        <v>#REF!</v>
      </c>
      <c r="FV7" t="e">
        <f>AND(#REF!,"AAAAAGfxobE=")</f>
        <v>#REF!</v>
      </c>
      <c r="FW7" t="e">
        <f>AND(#REF!,"AAAAAGfxobI=")</f>
        <v>#REF!</v>
      </c>
      <c r="FX7" t="e">
        <f>AND(#REF!,"AAAAAGfxobM=")</f>
        <v>#REF!</v>
      </c>
      <c r="FY7" t="e">
        <f>AND(#REF!,"AAAAAGfxobQ=")</f>
        <v>#REF!</v>
      </c>
      <c r="FZ7" t="e">
        <f>AND(#REF!,"AAAAAGfxobU=")</f>
        <v>#REF!</v>
      </c>
      <c r="GA7" t="e">
        <f>AND(#REF!,"AAAAAGfxobY=")</f>
        <v>#REF!</v>
      </c>
      <c r="GB7" t="e">
        <f>IF(#REF!,"AAAAAGfxobc=",0)</f>
        <v>#REF!</v>
      </c>
      <c r="GC7" t="e">
        <f>AND(#REF!,"AAAAAGfxobg=")</f>
        <v>#REF!</v>
      </c>
      <c r="GD7" t="e">
        <f>AND(#REF!,"AAAAAGfxobk=")</f>
        <v>#REF!</v>
      </c>
      <c r="GE7" t="e">
        <f>AND(#REF!,"AAAAAGfxobo=")</f>
        <v>#REF!</v>
      </c>
      <c r="GF7" t="e">
        <f>AND(#REF!,"AAAAAGfxobs=")</f>
        <v>#REF!</v>
      </c>
      <c r="GG7" t="e">
        <f>AND(#REF!,"AAAAAGfxobw=")</f>
        <v>#REF!</v>
      </c>
      <c r="GH7" t="e">
        <f>AND(#REF!,"AAAAAGfxob0=")</f>
        <v>#REF!</v>
      </c>
      <c r="GI7" t="e">
        <f>AND(#REF!,"AAAAAGfxob4=")</f>
        <v>#REF!</v>
      </c>
      <c r="GJ7" t="e">
        <f>AND(#REF!,"AAAAAGfxob8=")</f>
        <v>#REF!</v>
      </c>
      <c r="GK7" t="e">
        <f>AND(#REF!,"AAAAAGfxocA=")</f>
        <v>#REF!</v>
      </c>
      <c r="GL7" t="e">
        <f>AND(#REF!,"AAAAAGfxocE=")</f>
        <v>#REF!</v>
      </c>
      <c r="GM7" t="e">
        <f>AND(#REF!,"AAAAAGfxocI=")</f>
        <v>#REF!</v>
      </c>
      <c r="GN7" t="e">
        <f>AND(#REF!,"AAAAAGfxocM=")</f>
        <v>#REF!</v>
      </c>
      <c r="GO7" t="e">
        <f>AND(#REF!,"AAAAAGfxocQ=")</f>
        <v>#REF!</v>
      </c>
      <c r="GP7" t="e">
        <f>AND(#REF!,"AAAAAGfxocU=")</f>
        <v>#REF!</v>
      </c>
      <c r="GQ7" t="e">
        <f>IF(#REF!,"AAAAAGfxocY=",0)</f>
        <v>#REF!</v>
      </c>
      <c r="GR7" t="e">
        <f>AND(#REF!,"AAAAAGfxocc=")</f>
        <v>#REF!</v>
      </c>
      <c r="GS7" t="e">
        <f>AND(#REF!,"AAAAAGfxocg=")</f>
        <v>#REF!</v>
      </c>
      <c r="GT7" t="e">
        <f>AND(#REF!,"AAAAAGfxock=")</f>
        <v>#REF!</v>
      </c>
      <c r="GU7" t="e">
        <f>AND(#REF!,"AAAAAGfxoco=")</f>
        <v>#REF!</v>
      </c>
      <c r="GV7" t="e">
        <f>AND(#REF!,"AAAAAGfxocs=")</f>
        <v>#REF!</v>
      </c>
      <c r="GW7" t="e">
        <f>AND(#REF!,"AAAAAGfxocw=")</f>
        <v>#REF!</v>
      </c>
      <c r="GX7" t="e">
        <f>AND(#REF!,"AAAAAGfxoc0=")</f>
        <v>#REF!</v>
      </c>
      <c r="GY7" t="e">
        <f>AND(#REF!,"AAAAAGfxoc4=")</f>
        <v>#REF!</v>
      </c>
      <c r="GZ7" t="e">
        <f>AND(#REF!,"AAAAAGfxoc8=")</f>
        <v>#REF!</v>
      </c>
      <c r="HA7" t="e">
        <f>AND(#REF!,"AAAAAGfxodA=")</f>
        <v>#REF!</v>
      </c>
      <c r="HB7" t="e">
        <f>AND(#REF!,"AAAAAGfxodE=")</f>
        <v>#REF!</v>
      </c>
      <c r="HC7" t="e">
        <f>AND(#REF!,"AAAAAGfxodI=")</f>
        <v>#REF!</v>
      </c>
      <c r="HD7" t="e">
        <f>AND(#REF!,"AAAAAGfxodM=")</f>
        <v>#REF!</v>
      </c>
      <c r="HE7" t="e">
        <f>AND(#REF!,"AAAAAGfxodQ=")</f>
        <v>#REF!</v>
      </c>
      <c r="HF7" t="e">
        <f>IF(#REF!,"AAAAAGfxodU=",0)</f>
        <v>#REF!</v>
      </c>
      <c r="HG7" t="e">
        <f>AND(#REF!,"AAAAAGfxodY=")</f>
        <v>#REF!</v>
      </c>
      <c r="HH7" t="e">
        <f>AND(#REF!,"AAAAAGfxodc=")</f>
        <v>#REF!</v>
      </c>
      <c r="HI7" t="e">
        <f>AND(#REF!,"AAAAAGfxodg=")</f>
        <v>#REF!</v>
      </c>
      <c r="HJ7" t="e">
        <f>AND(#REF!,"AAAAAGfxodk=")</f>
        <v>#REF!</v>
      </c>
      <c r="HK7" t="e">
        <f>AND(#REF!,"AAAAAGfxodo=")</f>
        <v>#REF!</v>
      </c>
      <c r="HL7" t="e">
        <f>AND(#REF!,"AAAAAGfxods=")</f>
        <v>#REF!</v>
      </c>
      <c r="HM7" t="e">
        <f>AND(#REF!,"AAAAAGfxodw=")</f>
        <v>#REF!</v>
      </c>
      <c r="HN7" t="e">
        <f>AND(#REF!,"AAAAAGfxod0=")</f>
        <v>#REF!</v>
      </c>
      <c r="HO7" t="e">
        <f>AND(#REF!,"AAAAAGfxod4=")</f>
        <v>#REF!</v>
      </c>
      <c r="HP7" t="e">
        <f>AND(#REF!,"AAAAAGfxod8=")</f>
        <v>#REF!</v>
      </c>
      <c r="HQ7" t="e">
        <f>AND(#REF!,"AAAAAGfxoeA=")</f>
        <v>#REF!</v>
      </c>
      <c r="HR7" t="e">
        <f>AND(#REF!,"AAAAAGfxoeE=")</f>
        <v>#REF!</v>
      </c>
      <c r="HS7" t="e">
        <f>AND(#REF!,"AAAAAGfxoeI=")</f>
        <v>#REF!</v>
      </c>
      <c r="HT7" t="e">
        <f>AND(#REF!,"AAAAAGfxoeM=")</f>
        <v>#REF!</v>
      </c>
      <c r="HU7" t="e">
        <f>IF(#REF!,"AAAAAGfxoeQ=",0)</f>
        <v>#REF!</v>
      </c>
      <c r="HV7" t="e">
        <f>AND(#REF!,"AAAAAGfxoeU=")</f>
        <v>#REF!</v>
      </c>
      <c r="HW7" t="e">
        <f>AND(#REF!,"AAAAAGfxoeY=")</f>
        <v>#REF!</v>
      </c>
      <c r="HX7" t="e">
        <f>AND(#REF!,"AAAAAGfxoec=")</f>
        <v>#REF!</v>
      </c>
      <c r="HY7" t="e">
        <f>AND(#REF!,"AAAAAGfxoeg=")</f>
        <v>#REF!</v>
      </c>
      <c r="HZ7" t="e">
        <f>AND(#REF!,"AAAAAGfxoek=")</f>
        <v>#REF!</v>
      </c>
      <c r="IA7" t="e">
        <f>AND(#REF!,"AAAAAGfxoeo=")</f>
        <v>#REF!</v>
      </c>
      <c r="IB7" t="e">
        <f>AND(#REF!,"AAAAAGfxoes=")</f>
        <v>#REF!</v>
      </c>
      <c r="IC7" t="e">
        <f>AND(#REF!,"AAAAAGfxoew=")</f>
        <v>#REF!</v>
      </c>
      <c r="ID7" t="e">
        <f>AND(#REF!,"AAAAAGfxoe0=")</f>
        <v>#REF!</v>
      </c>
      <c r="IE7" t="e">
        <f>AND(#REF!,"AAAAAGfxoe4=")</f>
        <v>#REF!</v>
      </c>
      <c r="IF7" t="e">
        <f>AND(#REF!,"AAAAAGfxoe8=")</f>
        <v>#REF!</v>
      </c>
      <c r="IG7" t="e">
        <f>AND(#REF!,"AAAAAGfxofA=")</f>
        <v>#REF!</v>
      </c>
      <c r="IH7" t="e">
        <f>AND(#REF!,"AAAAAGfxofE=")</f>
        <v>#REF!</v>
      </c>
      <c r="II7" t="e">
        <f>AND(#REF!,"AAAAAGfxofI=")</f>
        <v>#REF!</v>
      </c>
      <c r="IJ7" t="e">
        <f>IF(#REF!,"AAAAAGfxofM=",0)</f>
        <v>#REF!</v>
      </c>
      <c r="IK7" t="e">
        <f>AND(#REF!,"AAAAAGfxofQ=")</f>
        <v>#REF!</v>
      </c>
      <c r="IL7" t="e">
        <f>AND(#REF!,"AAAAAGfxofU=")</f>
        <v>#REF!</v>
      </c>
      <c r="IM7" t="e">
        <f>AND(#REF!,"AAAAAGfxofY=")</f>
        <v>#REF!</v>
      </c>
      <c r="IN7" t="e">
        <f>AND(#REF!,"AAAAAGfxofc=")</f>
        <v>#REF!</v>
      </c>
      <c r="IO7" t="e">
        <f>AND(#REF!,"AAAAAGfxofg=")</f>
        <v>#REF!</v>
      </c>
      <c r="IP7" t="e">
        <f>AND(#REF!,"AAAAAGfxofk=")</f>
        <v>#REF!</v>
      </c>
      <c r="IQ7" t="e">
        <f>AND(#REF!,"AAAAAGfxofo=")</f>
        <v>#REF!</v>
      </c>
      <c r="IR7" t="e">
        <f>AND(#REF!,"AAAAAGfxofs=")</f>
        <v>#REF!</v>
      </c>
      <c r="IS7" t="e">
        <f>AND(#REF!,"AAAAAGfxofw=")</f>
        <v>#REF!</v>
      </c>
      <c r="IT7" t="e">
        <f>AND(#REF!,"AAAAAGfxof0=")</f>
        <v>#REF!</v>
      </c>
      <c r="IU7" t="e">
        <f>AND(#REF!,"AAAAAGfxof4=")</f>
        <v>#REF!</v>
      </c>
      <c r="IV7" t="e">
        <f>AND(#REF!,"AAAAAGfxof8=")</f>
        <v>#REF!</v>
      </c>
    </row>
    <row r="8" spans="1:256" x14ac:dyDescent="0.2">
      <c r="A8" t="e">
        <f>AND(#REF!,"AAAAAF7f3QA=")</f>
        <v>#REF!</v>
      </c>
      <c r="B8" t="e">
        <f>AND(#REF!,"AAAAAF7f3QE=")</f>
        <v>#REF!</v>
      </c>
      <c r="C8" t="e">
        <f>IF(#REF!,"AAAAAF7f3QI=",0)</f>
        <v>#REF!</v>
      </c>
      <c r="D8" t="e">
        <f>AND(#REF!,"AAAAAF7f3QM=")</f>
        <v>#REF!</v>
      </c>
      <c r="E8" t="e">
        <f>AND(#REF!,"AAAAAF7f3QQ=")</f>
        <v>#REF!</v>
      </c>
      <c r="F8" t="e">
        <f>AND(#REF!,"AAAAAF7f3QU=")</f>
        <v>#REF!</v>
      </c>
      <c r="G8" t="e">
        <f>AND(#REF!,"AAAAAF7f3QY=")</f>
        <v>#REF!</v>
      </c>
      <c r="H8" t="e">
        <f>AND(#REF!,"AAAAAF7f3Qc=")</f>
        <v>#REF!</v>
      </c>
      <c r="I8" t="e">
        <f>AND(#REF!,"AAAAAF7f3Qg=")</f>
        <v>#REF!</v>
      </c>
      <c r="J8" t="e">
        <f>AND(#REF!,"AAAAAF7f3Qk=")</f>
        <v>#REF!</v>
      </c>
      <c r="K8" t="e">
        <f>AND(#REF!,"AAAAAF7f3Qo=")</f>
        <v>#REF!</v>
      </c>
      <c r="L8" t="e">
        <f>AND(#REF!,"AAAAAF7f3Qs=")</f>
        <v>#REF!</v>
      </c>
      <c r="M8" t="e">
        <f>AND(#REF!,"AAAAAF7f3Qw=")</f>
        <v>#REF!</v>
      </c>
      <c r="N8" t="e">
        <f>AND(#REF!,"AAAAAF7f3Q0=")</f>
        <v>#REF!</v>
      </c>
      <c r="O8" t="e">
        <f>AND(#REF!,"AAAAAF7f3Q4=")</f>
        <v>#REF!</v>
      </c>
      <c r="P8" t="e">
        <f>AND(#REF!,"AAAAAF7f3Q8=")</f>
        <v>#REF!</v>
      </c>
      <c r="Q8" t="e">
        <f>AND(#REF!,"AAAAAF7f3RA=")</f>
        <v>#REF!</v>
      </c>
      <c r="R8" t="e">
        <f>IF(#REF!,"AAAAAF7f3RE=",0)</f>
        <v>#REF!</v>
      </c>
      <c r="S8" t="e">
        <f>AND(#REF!,"AAAAAF7f3RI=")</f>
        <v>#REF!</v>
      </c>
      <c r="T8" t="e">
        <f>AND(#REF!,"AAAAAF7f3RM=")</f>
        <v>#REF!</v>
      </c>
      <c r="U8" t="e">
        <f>AND(#REF!,"AAAAAF7f3RQ=")</f>
        <v>#REF!</v>
      </c>
      <c r="V8" t="e">
        <f>AND(#REF!,"AAAAAF7f3RU=")</f>
        <v>#REF!</v>
      </c>
      <c r="W8" t="e">
        <f>AND(#REF!,"AAAAAF7f3RY=")</f>
        <v>#REF!</v>
      </c>
      <c r="X8" t="e">
        <f>AND(#REF!,"AAAAAF7f3Rc=")</f>
        <v>#REF!</v>
      </c>
      <c r="Y8" t="e">
        <f>AND(#REF!,"AAAAAF7f3Rg=")</f>
        <v>#REF!</v>
      </c>
      <c r="Z8" t="e">
        <f>AND(#REF!,"AAAAAF7f3Rk=")</f>
        <v>#REF!</v>
      </c>
      <c r="AA8" t="e">
        <f>AND(#REF!,"AAAAAF7f3Ro=")</f>
        <v>#REF!</v>
      </c>
      <c r="AB8" t="e">
        <f>AND(#REF!,"AAAAAF7f3Rs=")</f>
        <v>#REF!</v>
      </c>
      <c r="AC8" t="e">
        <f>AND(#REF!,"AAAAAF7f3Rw=")</f>
        <v>#REF!</v>
      </c>
      <c r="AD8" t="e">
        <f>AND(#REF!,"AAAAAF7f3R0=")</f>
        <v>#REF!</v>
      </c>
      <c r="AE8" t="e">
        <f>AND(#REF!,"AAAAAF7f3R4=")</f>
        <v>#REF!</v>
      </c>
      <c r="AF8" t="e">
        <f>AND(#REF!,"AAAAAF7f3R8=")</f>
        <v>#REF!</v>
      </c>
      <c r="AG8" t="e">
        <f>IF(#REF!,"AAAAAF7f3SA=",0)</f>
        <v>#REF!</v>
      </c>
      <c r="AH8" t="e">
        <f>AND(#REF!,"AAAAAF7f3SE=")</f>
        <v>#REF!</v>
      </c>
      <c r="AI8" t="e">
        <f>AND(#REF!,"AAAAAF7f3SI=")</f>
        <v>#REF!</v>
      </c>
      <c r="AJ8" t="e">
        <f>AND(#REF!,"AAAAAF7f3SM=")</f>
        <v>#REF!</v>
      </c>
      <c r="AK8" t="e">
        <f>AND(#REF!,"AAAAAF7f3SQ=")</f>
        <v>#REF!</v>
      </c>
      <c r="AL8" t="e">
        <f>AND(#REF!,"AAAAAF7f3SU=")</f>
        <v>#REF!</v>
      </c>
      <c r="AM8" t="e">
        <f>AND(#REF!,"AAAAAF7f3SY=")</f>
        <v>#REF!</v>
      </c>
      <c r="AN8" t="e">
        <f>AND(#REF!,"AAAAAF7f3Sc=")</f>
        <v>#REF!</v>
      </c>
      <c r="AO8" t="e">
        <f>AND(#REF!,"AAAAAF7f3Sg=")</f>
        <v>#REF!</v>
      </c>
      <c r="AP8" t="e">
        <f>AND(#REF!,"AAAAAF7f3Sk=")</f>
        <v>#REF!</v>
      </c>
      <c r="AQ8" t="e">
        <f>AND(#REF!,"AAAAAF7f3So=")</f>
        <v>#REF!</v>
      </c>
      <c r="AR8" t="e">
        <f>AND(#REF!,"AAAAAF7f3Ss=")</f>
        <v>#REF!</v>
      </c>
      <c r="AS8" t="e">
        <f>AND(#REF!,"AAAAAF7f3Sw=")</f>
        <v>#REF!</v>
      </c>
      <c r="AT8" t="e">
        <f>AND(#REF!,"AAAAAF7f3S0=")</f>
        <v>#REF!</v>
      </c>
      <c r="AU8" t="e">
        <f>AND(#REF!,"AAAAAF7f3S4=")</f>
        <v>#REF!</v>
      </c>
      <c r="AV8" t="e">
        <f>IF(#REF!,"AAAAAF7f3S8=",0)</f>
        <v>#REF!</v>
      </c>
      <c r="AW8" t="e">
        <f>AND(#REF!,"AAAAAF7f3TA=")</f>
        <v>#REF!</v>
      </c>
      <c r="AX8" t="e">
        <f>AND(#REF!,"AAAAAF7f3TE=")</f>
        <v>#REF!</v>
      </c>
      <c r="AY8" t="e">
        <f>AND(#REF!,"AAAAAF7f3TI=")</f>
        <v>#REF!</v>
      </c>
      <c r="AZ8" t="e">
        <f>AND(#REF!,"AAAAAF7f3TM=")</f>
        <v>#REF!</v>
      </c>
      <c r="BA8" t="e">
        <f>AND(#REF!,"AAAAAF7f3TQ=")</f>
        <v>#REF!</v>
      </c>
      <c r="BB8" t="e">
        <f>AND(#REF!,"AAAAAF7f3TU=")</f>
        <v>#REF!</v>
      </c>
      <c r="BC8" t="e">
        <f>AND(#REF!,"AAAAAF7f3TY=")</f>
        <v>#REF!</v>
      </c>
      <c r="BD8" t="e">
        <f>AND(#REF!,"AAAAAF7f3Tc=")</f>
        <v>#REF!</v>
      </c>
      <c r="BE8" t="e">
        <f>AND(#REF!,"AAAAAF7f3Tg=")</f>
        <v>#REF!</v>
      </c>
      <c r="BF8" t="e">
        <f>AND(#REF!,"AAAAAF7f3Tk=")</f>
        <v>#REF!</v>
      </c>
      <c r="BG8" t="e">
        <f>AND(#REF!,"AAAAAF7f3To=")</f>
        <v>#REF!</v>
      </c>
      <c r="BH8" t="e">
        <f>AND(#REF!,"AAAAAF7f3Ts=")</f>
        <v>#REF!</v>
      </c>
      <c r="BI8" t="e">
        <f>AND(#REF!,"AAAAAF7f3Tw=")</f>
        <v>#REF!</v>
      </c>
      <c r="BJ8" t="e">
        <f>AND(#REF!,"AAAAAF7f3T0=")</f>
        <v>#REF!</v>
      </c>
      <c r="BK8" t="e">
        <f>IF(#REF!,"AAAAAF7f3T4=",0)</f>
        <v>#REF!</v>
      </c>
      <c r="BL8" t="e">
        <f>AND(#REF!,"AAAAAF7f3T8=")</f>
        <v>#REF!</v>
      </c>
      <c r="BM8" t="e">
        <f>AND(#REF!,"AAAAAF7f3UA=")</f>
        <v>#REF!</v>
      </c>
      <c r="BN8" t="e">
        <f>AND(#REF!,"AAAAAF7f3UE=")</f>
        <v>#REF!</v>
      </c>
      <c r="BO8" t="e">
        <f>AND(#REF!,"AAAAAF7f3UI=")</f>
        <v>#REF!</v>
      </c>
      <c r="BP8" t="e">
        <f>AND(#REF!,"AAAAAF7f3UM=")</f>
        <v>#REF!</v>
      </c>
      <c r="BQ8" t="e">
        <f>AND(#REF!,"AAAAAF7f3UQ=")</f>
        <v>#REF!</v>
      </c>
      <c r="BR8" t="e">
        <f>AND(#REF!,"AAAAAF7f3UU=")</f>
        <v>#REF!</v>
      </c>
      <c r="BS8" t="e">
        <f>AND(#REF!,"AAAAAF7f3UY=")</f>
        <v>#REF!</v>
      </c>
      <c r="BT8" t="e">
        <f>AND(#REF!,"AAAAAF7f3Uc=")</f>
        <v>#REF!</v>
      </c>
      <c r="BU8" t="e">
        <f>AND(#REF!,"AAAAAF7f3Ug=")</f>
        <v>#REF!</v>
      </c>
      <c r="BV8" t="e">
        <f>AND(#REF!,"AAAAAF7f3Uk=")</f>
        <v>#REF!</v>
      </c>
      <c r="BW8" t="e">
        <f>AND(#REF!,"AAAAAF7f3Uo=")</f>
        <v>#REF!</v>
      </c>
      <c r="BX8" t="e">
        <f>AND(#REF!,"AAAAAF7f3Us=")</f>
        <v>#REF!</v>
      </c>
      <c r="BY8" t="e">
        <f>AND(#REF!,"AAAAAF7f3Uw=")</f>
        <v>#REF!</v>
      </c>
      <c r="BZ8" t="e">
        <f>IF(#REF!,"AAAAAF7f3U0=",0)</f>
        <v>#REF!</v>
      </c>
      <c r="CA8" t="e">
        <f>AND(#REF!,"AAAAAF7f3U4=")</f>
        <v>#REF!</v>
      </c>
      <c r="CB8" t="e">
        <f>AND(#REF!,"AAAAAF7f3U8=")</f>
        <v>#REF!</v>
      </c>
      <c r="CC8" t="e">
        <f>AND(#REF!,"AAAAAF7f3VA=")</f>
        <v>#REF!</v>
      </c>
      <c r="CD8" t="e">
        <f>AND(#REF!,"AAAAAF7f3VE=")</f>
        <v>#REF!</v>
      </c>
      <c r="CE8" t="e">
        <f>AND(#REF!,"AAAAAF7f3VI=")</f>
        <v>#REF!</v>
      </c>
      <c r="CF8" t="e">
        <f>AND(#REF!,"AAAAAF7f3VM=")</f>
        <v>#REF!</v>
      </c>
      <c r="CG8" t="e">
        <f>AND(#REF!,"AAAAAF7f3VQ=")</f>
        <v>#REF!</v>
      </c>
      <c r="CH8" t="e">
        <f>AND(#REF!,"AAAAAF7f3VU=")</f>
        <v>#REF!</v>
      </c>
      <c r="CI8" t="e">
        <f>AND(#REF!,"AAAAAF7f3VY=")</f>
        <v>#REF!</v>
      </c>
      <c r="CJ8" t="e">
        <f>AND(#REF!,"AAAAAF7f3Vc=")</f>
        <v>#REF!</v>
      </c>
      <c r="CK8" t="e">
        <f>AND(#REF!,"AAAAAF7f3Vg=")</f>
        <v>#REF!</v>
      </c>
      <c r="CL8" t="e">
        <f>AND(#REF!,"AAAAAF7f3Vk=")</f>
        <v>#REF!</v>
      </c>
      <c r="CM8" t="e">
        <f>AND(#REF!,"AAAAAF7f3Vo=")</f>
        <v>#REF!</v>
      </c>
      <c r="CN8" t="e">
        <f>AND(#REF!,"AAAAAF7f3Vs=")</f>
        <v>#REF!</v>
      </c>
      <c r="CO8" t="e">
        <f>IF(#REF!,"AAAAAF7f3Vw=",0)</f>
        <v>#REF!</v>
      </c>
      <c r="CP8" t="e">
        <f>AND(#REF!,"AAAAAF7f3V0=")</f>
        <v>#REF!</v>
      </c>
      <c r="CQ8" t="e">
        <f>AND(#REF!,"AAAAAF7f3V4=")</f>
        <v>#REF!</v>
      </c>
      <c r="CR8" t="e">
        <f>AND(#REF!,"AAAAAF7f3V8=")</f>
        <v>#REF!</v>
      </c>
      <c r="CS8" t="e">
        <f>AND(#REF!,"AAAAAF7f3WA=")</f>
        <v>#REF!</v>
      </c>
      <c r="CT8" t="e">
        <f>AND(#REF!,"AAAAAF7f3WE=")</f>
        <v>#REF!</v>
      </c>
      <c r="CU8" t="e">
        <f>AND(#REF!,"AAAAAF7f3WI=")</f>
        <v>#REF!</v>
      </c>
      <c r="CV8" t="e">
        <f>AND(#REF!,"AAAAAF7f3WM=")</f>
        <v>#REF!</v>
      </c>
      <c r="CW8" t="e">
        <f>AND(#REF!,"AAAAAF7f3WQ=")</f>
        <v>#REF!</v>
      </c>
      <c r="CX8" t="e">
        <f>AND(#REF!,"AAAAAF7f3WU=")</f>
        <v>#REF!</v>
      </c>
      <c r="CY8" t="e">
        <f>AND(#REF!,"AAAAAF7f3WY=")</f>
        <v>#REF!</v>
      </c>
      <c r="CZ8" t="e">
        <f>AND(#REF!,"AAAAAF7f3Wc=")</f>
        <v>#REF!</v>
      </c>
      <c r="DA8" t="e">
        <f>AND(#REF!,"AAAAAF7f3Wg=")</f>
        <v>#REF!</v>
      </c>
      <c r="DB8" t="e">
        <f>AND(#REF!,"AAAAAF7f3Wk=")</f>
        <v>#REF!</v>
      </c>
      <c r="DC8" t="e">
        <f>AND(#REF!,"AAAAAF7f3Wo=")</f>
        <v>#REF!</v>
      </c>
      <c r="DD8" t="e">
        <f>IF(#REF!,"AAAAAF7f3Ws=",0)</f>
        <v>#REF!</v>
      </c>
      <c r="DE8" t="e">
        <f>AND(#REF!,"AAAAAF7f3Ww=")</f>
        <v>#REF!</v>
      </c>
      <c r="DF8" t="e">
        <f>AND(#REF!,"AAAAAF7f3W0=")</f>
        <v>#REF!</v>
      </c>
      <c r="DG8" t="e">
        <f>AND(#REF!,"AAAAAF7f3W4=")</f>
        <v>#REF!</v>
      </c>
      <c r="DH8" t="e">
        <f>AND(#REF!,"AAAAAF7f3W8=")</f>
        <v>#REF!</v>
      </c>
      <c r="DI8" t="e">
        <f>AND(#REF!,"AAAAAF7f3XA=")</f>
        <v>#REF!</v>
      </c>
      <c r="DJ8" t="e">
        <f>AND(#REF!,"AAAAAF7f3XE=")</f>
        <v>#REF!</v>
      </c>
      <c r="DK8" t="e">
        <f>AND(#REF!,"AAAAAF7f3XI=")</f>
        <v>#REF!</v>
      </c>
      <c r="DL8" t="e">
        <f>AND(#REF!,"AAAAAF7f3XM=")</f>
        <v>#REF!</v>
      </c>
      <c r="DM8" t="e">
        <f>AND(#REF!,"AAAAAF7f3XQ=")</f>
        <v>#REF!</v>
      </c>
      <c r="DN8" t="e">
        <f>AND(#REF!,"AAAAAF7f3XU=")</f>
        <v>#REF!</v>
      </c>
      <c r="DO8" t="e">
        <f>AND(#REF!,"AAAAAF7f3XY=")</f>
        <v>#REF!</v>
      </c>
      <c r="DP8" t="e">
        <f>AND(#REF!,"AAAAAF7f3Xc=")</f>
        <v>#REF!</v>
      </c>
      <c r="DQ8" t="e">
        <f>AND(#REF!,"AAAAAF7f3Xg=")</f>
        <v>#REF!</v>
      </c>
      <c r="DR8" t="e">
        <f>AND(#REF!,"AAAAAF7f3Xk=")</f>
        <v>#REF!</v>
      </c>
      <c r="DS8" t="e">
        <f>IF(#REF!,"AAAAAF7f3Xo=",0)</f>
        <v>#REF!</v>
      </c>
      <c r="DT8" t="e">
        <f>AND(#REF!,"AAAAAF7f3Xs=")</f>
        <v>#REF!</v>
      </c>
      <c r="DU8" t="e">
        <f>AND(#REF!,"AAAAAF7f3Xw=")</f>
        <v>#REF!</v>
      </c>
      <c r="DV8" t="e">
        <f>AND(#REF!,"AAAAAF7f3X0=")</f>
        <v>#REF!</v>
      </c>
      <c r="DW8" t="e">
        <f>AND(#REF!,"AAAAAF7f3X4=")</f>
        <v>#REF!</v>
      </c>
      <c r="DX8" t="e">
        <f>AND(#REF!,"AAAAAF7f3X8=")</f>
        <v>#REF!</v>
      </c>
      <c r="DY8" t="e">
        <f>AND(#REF!,"AAAAAF7f3YA=")</f>
        <v>#REF!</v>
      </c>
      <c r="DZ8" t="e">
        <f>AND(#REF!,"AAAAAF7f3YE=")</f>
        <v>#REF!</v>
      </c>
      <c r="EA8" t="e">
        <f>AND(#REF!,"AAAAAF7f3YI=")</f>
        <v>#REF!</v>
      </c>
      <c r="EB8" t="e">
        <f>AND(#REF!,"AAAAAF7f3YM=")</f>
        <v>#REF!</v>
      </c>
      <c r="EC8" t="e">
        <f>AND(#REF!,"AAAAAF7f3YQ=")</f>
        <v>#REF!</v>
      </c>
      <c r="ED8" t="e">
        <f>AND(#REF!,"AAAAAF7f3YU=")</f>
        <v>#REF!</v>
      </c>
      <c r="EE8" t="e">
        <f>AND(#REF!,"AAAAAF7f3YY=")</f>
        <v>#REF!</v>
      </c>
      <c r="EF8" t="e">
        <f>AND(#REF!,"AAAAAF7f3Yc=")</f>
        <v>#REF!</v>
      </c>
      <c r="EG8" t="e">
        <f>AND(#REF!,"AAAAAF7f3Yg=")</f>
        <v>#REF!</v>
      </c>
      <c r="EH8" t="e">
        <f>IF(#REF!,"AAAAAF7f3Yk=",0)</f>
        <v>#REF!</v>
      </c>
      <c r="EI8" t="e">
        <f>AND(#REF!,"AAAAAF7f3Yo=")</f>
        <v>#REF!</v>
      </c>
      <c r="EJ8" t="e">
        <f>AND(#REF!,"AAAAAF7f3Ys=")</f>
        <v>#REF!</v>
      </c>
      <c r="EK8" t="e">
        <f>AND(#REF!,"AAAAAF7f3Yw=")</f>
        <v>#REF!</v>
      </c>
      <c r="EL8" t="e">
        <f>AND(#REF!,"AAAAAF7f3Y0=")</f>
        <v>#REF!</v>
      </c>
      <c r="EM8" t="e">
        <f>AND(#REF!,"AAAAAF7f3Y4=")</f>
        <v>#REF!</v>
      </c>
      <c r="EN8" t="e">
        <f>AND(#REF!,"AAAAAF7f3Y8=")</f>
        <v>#REF!</v>
      </c>
      <c r="EO8" t="e">
        <f>AND(#REF!,"AAAAAF7f3ZA=")</f>
        <v>#REF!</v>
      </c>
      <c r="EP8" t="e">
        <f>AND(#REF!,"AAAAAF7f3ZE=")</f>
        <v>#REF!</v>
      </c>
      <c r="EQ8" t="e">
        <f>AND(#REF!,"AAAAAF7f3ZI=")</f>
        <v>#REF!</v>
      </c>
      <c r="ER8" t="e">
        <f>AND(#REF!,"AAAAAF7f3ZM=")</f>
        <v>#REF!</v>
      </c>
      <c r="ES8" t="e">
        <f>AND(#REF!,"AAAAAF7f3ZQ=")</f>
        <v>#REF!</v>
      </c>
      <c r="ET8" t="e">
        <f>AND(#REF!,"AAAAAF7f3ZU=")</f>
        <v>#REF!</v>
      </c>
      <c r="EU8" t="e">
        <f>AND(#REF!,"AAAAAF7f3ZY=")</f>
        <v>#REF!</v>
      </c>
      <c r="EV8" t="e">
        <f>AND(#REF!,"AAAAAF7f3Zc=")</f>
        <v>#REF!</v>
      </c>
      <c r="EW8" t="e">
        <f>IF(#REF!,"AAAAAF7f3Zg=",0)</f>
        <v>#REF!</v>
      </c>
      <c r="EX8" t="e">
        <f>AND(#REF!,"AAAAAF7f3Zk=")</f>
        <v>#REF!</v>
      </c>
      <c r="EY8" t="e">
        <f>AND(#REF!,"AAAAAF7f3Zo=")</f>
        <v>#REF!</v>
      </c>
      <c r="EZ8" t="e">
        <f>AND(#REF!,"AAAAAF7f3Zs=")</f>
        <v>#REF!</v>
      </c>
      <c r="FA8" t="e">
        <f>AND(#REF!,"AAAAAF7f3Zw=")</f>
        <v>#REF!</v>
      </c>
      <c r="FB8" t="e">
        <f>AND(#REF!,"AAAAAF7f3Z0=")</f>
        <v>#REF!</v>
      </c>
      <c r="FC8" t="e">
        <f>AND(#REF!,"AAAAAF7f3Z4=")</f>
        <v>#REF!</v>
      </c>
      <c r="FD8" t="e">
        <f>AND(#REF!,"AAAAAF7f3Z8=")</f>
        <v>#REF!</v>
      </c>
      <c r="FE8" t="e">
        <f>AND(#REF!,"AAAAAF7f3aA=")</f>
        <v>#REF!</v>
      </c>
      <c r="FF8" t="e">
        <f>AND(#REF!,"AAAAAF7f3aE=")</f>
        <v>#REF!</v>
      </c>
      <c r="FG8" t="e">
        <f>AND(#REF!,"AAAAAF7f3aI=")</f>
        <v>#REF!</v>
      </c>
      <c r="FH8" t="e">
        <f>AND(#REF!,"AAAAAF7f3aM=")</f>
        <v>#REF!</v>
      </c>
      <c r="FI8" t="e">
        <f>AND(#REF!,"AAAAAF7f3aQ=")</f>
        <v>#REF!</v>
      </c>
      <c r="FJ8" t="e">
        <f>AND(#REF!,"AAAAAF7f3aU=")</f>
        <v>#REF!</v>
      </c>
      <c r="FK8" t="e">
        <f>AND(#REF!,"AAAAAF7f3aY=")</f>
        <v>#REF!</v>
      </c>
      <c r="FL8" t="e">
        <f>IF(#REF!,"AAAAAF7f3ac=",0)</f>
        <v>#REF!</v>
      </c>
      <c r="FM8" t="e">
        <f>AND(#REF!,"AAAAAF7f3ag=")</f>
        <v>#REF!</v>
      </c>
      <c r="FN8" t="e">
        <f>AND(#REF!,"AAAAAF7f3ak=")</f>
        <v>#REF!</v>
      </c>
      <c r="FO8" t="e">
        <f>AND(#REF!,"AAAAAF7f3ao=")</f>
        <v>#REF!</v>
      </c>
      <c r="FP8" t="e">
        <f>AND(#REF!,"AAAAAF7f3as=")</f>
        <v>#REF!</v>
      </c>
      <c r="FQ8" t="e">
        <f>AND(#REF!,"AAAAAF7f3aw=")</f>
        <v>#REF!</v>
      </c>
      <c r="FR8" t="e">
        <f>AND(#REF!,"AAAAAF7f3a0=")</f>
        <v>#REF!</v>
      </c>
      <c r="FS8" t="e">
        <f>AND(#REF!,"AAAAAF7f3a4=")</f>
        <v>#REF!</v>
      </c>
      <c r="FT8" t="e">
        <f>AND(#REF!,"AAAAAF7f3a8=")</f>
        <v>#REF!</v>
      </c>
      <c r="FU8" t="e">
        <f>AND(#REF!,"AAAAAF7f3bA=")</f>
        <v>#REF!</v>
      </c>
      <c r="FV8" t="e">
        <f>AND(#REF!,"AAAAAF7f3bE=")</f>
        <v>#REF!</v>
      </c>
      <c r="FW8" t="e">
        <f>AND(#REF!,"AAAAAF7f3bI=")</f>
        <v>#REF!</v>
      </c>
      <c r="FX8" t="e">
        <f>AND(#REF!,"AAAAAF7f3bM=")</f>
        <v>#REF!</v>
      </c>
      <c r="FY8" t="e">
        <f>AND(#REF!,"AAAAAF7f3bQ=")</f>
        <v>#REF!</v>
      </c>
      <c r="FZ8" t="e">
        <f>AND(#REF!,"AAAAAF7f3bU=")</f>
        <v>#REF!</v>
      </c>
      <c r="GA8" t="e">
        <f>IF(#REF!,"AAAAAF7f3bY=",0)</f>
        <v>#REF!</v>
      </c>
      <c r="GB8" t="e">
        <f>AND(#REF!,"AAAAAF7f3bc=")</f>
        <v>#REF!</v>
      </c>
      <c r="GC8" t="e">
        <f>AND(#REF!,"AAAAAF7f3bg=")</f>
        <v>#REF!</v>
      </c>
      <c r="GD8" t="e">
        <f>AND(#REF!,"AAAAAF7f3bk=")</f>
        <v>#REF!</v>
      </c>
      <c r="GE8" t="e">
        <f>AND(#REF!,"AAAAAF7f3bo=")</f>
        <v>#REF!</v>
      </c>
      <c r="GF8" t="e">
        <f>AND(#REF!,"AAAAAF7f3bs=")</f>
        <v>#REF!</v>
      </c>
      <c r="GG8" t="e">
        <f>AND(#REF!,"AAAAAF7f3bw=")</f>
        <v>#REF!</v>
      </c>
      <c r="GH8" t="e">
        <f>AND(#REF!,"AAAAAF7f3b0=")</f>
        <v>#REF!</v>
      </c>
      <c r="GI8" t="e">
        <f>AND(#REF!,"AAAAAF7f3b4=")</f>
        <v>#REF!</v>
      </c>
      <c r="GJ8" t="e">
        <f>AND(#REF!,"AAAAAF7f3b8=")</f>
        <v>#REF!</v>
      </c>
      <c r="GK8" t="e">
        <f>AND(#REF!,"AAAAAF7f3cA=")</f>
        <v>#REF!</v>
      </c>
      <c r="GL8" t="e">
        <f>AND(#REF!,"AAAAAF7f3cE=")</f>
        <v>#REF!</v>
      </c>
      <c r="GM8" t="e">
        <f>AND(#REF!,"AAAAAF7f3cI=")</f>
        <v>#REF!</v>
      </c>
      <c r="GN8" t="e">
        <f>AND(#REF!,"AAAAAF7f3cM=")</f>
        <v>#REF!</v>
      </c>
      <c r="GO8" t="e">
        <f>AND(#REF!,"AAAAAF7f3cQ=")</f>
        <v>#REF!</v>
      </c>
      <c r="GP8" t="e">
        <f>IF(#REF!,"AAAAAF7f3cU=",0)</f>
        <v>#REF!</v>
      </c>
      <c r="GQ8" t="e">
        <f>AND(#REF!,"AAAAAF7f3cY=")</f>
        <v>#REF!</v>
      </c>
      <c r="GR8" t="e">
        <f>AND(#REF!,"AAAAAF7f3cc=")</f>
        <v>#REF!</v>
      </c>
      <c r="GS8" t="e">
        <f>AND(#REF!,"AAAAAF7f3cg=")</f>
        <v>#REF!</v>
      </c>
      <c r="GT8" t="e">
        <f>AND(#REF!,"AAAAAF7f3ck=")</f>
        <v>#REF!</v>
      </c>
      <c r="GU8" t="e">
        <f>AND(#REF!,"AAAAAF7f3co=")</f>
        <v>#REF!</v>
      </c>
      <c r="GV8" t="e">
        <f>AND(#REF!,"AAAAAF7f3cs=")</f>
        <v>#REF!</v>
      </c>
      <c r="GW8" t="e">
        <f>AND(#REF!,"AAAAAF7f3cw=")</f>
        <v>#REF!</v>
      </c>
      <c r="GX8" t="e">
        <f>AND(#REF!,"AAAAAF7f3c0=")</f>
        <v>#REF!</v>
      </c>
      <c r="GY8" t="e">
        <f>AND(#REF!,"AAAAAF7f3c4=")</f>
        <v>#REF!</v>
      </c>
      <c r="GZ8" t="e">
        <f>AND(#REF!,"AAAAAF7f3c8=")</f>
        <v>#REF!</v>
      </c>
      <c r="HA8" t="e">
        <f>AND(#REF!,"AAAAAF7f3dA=")</f>
        <v>#REF!</v>
      </c>
      <c r="HB8" t="e">
        <f>AND(#REF!,"AAAAAF7f3dE=")</f>
        <v>#REF!</v>
      </c>
      <c r="HC8" t="e">
        <f>AND(#REF!,"AAAAAF7f3dI=")</f>
        <v>#REF!</v>
      </c>
      <c r="HD8" t="e">
        <f>AND(#REF!,"AAAAAF7f3dM=")</f>
        <v>#REF!</v>
      </c>
      <c r="HE8" t="e">
        <f>IF(#REF!,"AAAAAF7f3dQ=",0)</f>
        <v>#REF!</v>
      </c>
      <c r="HF8" t="e">
        <f>AND(#REF!,"AAAAAF7f3dU=")</f>
        <v>#REF!</v>
      </c>
      <c r="HG8" t="e">
        <f>AND(#REF!,"AAAAAF7f3dY=")</f>
        <v>#REF!</v>
      </c>
      <c r="HH8" t="e">
        <f>AND(#REF!,"AAAAAF7f3dc=")</f>
        <v>#REF!</v>
      </c>
      <c r="HI8" t="e">
        <f>AND(#REF!,"AAAAAF7f3dg=")</f>
        <v>#REF!</v>
      </c>
      <c r="HJ8" t="e">
        <f>AND(#REF!,"AAAAAF7f3dk=")</f>
        <v>#REF!</v>
      </c>
      <c r="HK8" t="e">
        <f>AND(#REF!,"AAAAAF7f3do=")</f>
        <v>#REF!</v>
      </c>
      <c r="HL8" t="e">
        <f>AND(#REF!,"AAAAAF7f3ds=")</f>
        <v>#REF!</v>
      </c>
      <c r="HM8" t="e">
        <f>AND(#REF!,"AAAAAF7f3dw=")</f>
        <v>#REF!</v>
      </c>
      <c r="HN8" t="e">
        <f>AND(#REF!,"AAAAAF7f3d0=")</f>
        <v>#REF!</v>
      </c>
      <c r="HO8" t="e">
        <f>AND(#REF!,"AAAAAF7f3d4=")</f>
        <v>#REF!</v>
      </c>
      <c r="HP8" t="e">
        <f>AND(#REF!,"AAAAAF7f3d8=")</f>
        <v>#REF!</v>
      </c>
      <c r="HQ8" t="e">
        <f>AND(#REF!,"AAAAAF7f3eA=")</f>
        <v>#REF!</v>
      </c>
      <c r="HR8" t="e">
        <f>AND(#REF!,"AAAAAF7f3eE=")</f>
        <v>#REF!</v>
      </c>
      <c r="HS8" t="e">
        <f>AND(#REF!,"AAAAAF7f3eI=")</f>
        <v>#REF!</v>
      </c>
      <c r="HT8" t="e">
        <f>IF(#REF!,"AAAAAF7f3eM=",0)</f>
        <v>#REF!</v>
      </c>
      <c r="HU8" t="e">
        <f>AND(#REF!,"AAAAAF7f3eQ=")</f>
        <v>#REF!</v>
      </c>
      <c r="HV8" t="e">
        <f>AND(#REF!,"AAAAAF7f3eU=")</f>
        <v>#REF!</v>
      </c>
      <c r="HW8" t="e">
        <f>AND(#REF!,"AAAAAF7f3eY=")</f>
        <v>#REF!</v>
      </c>
      <c r="HX8" t="e">
        <f>AND(#REF!,"AAAAAF7f3ec=")</f>
        <v>#REF!</v>
      </c>
      <c r="HY8" t="e">
        <f>AND(#REF!,"AAAAAF7f3eg=")</f>
        <v>#REF!</v>
      </c>
      <c r="HZ8" t="e">
        <f>AND(#REF!,"AAAAAF7f3ek=")</f>
        <v>#REF!</v>
      </c>
      <c r="IA8" t="e">
        <f>AND(#REF!,"AAAAAF7f3eo=")</f>
        <v>#REF!</v>
      </c>
      <c r="IB8" t="e">
        <f>AND(#REF!,"AAAAAF7f3es=")</f>
        <v>#REF!</v>
      </c>
      <c r="IC8" t="e">
        <f>AND(#REF!,"AAAAAF7f3ew=")</f>
        <v>#REF!</v>
      </c>
      <c r="ID8" t="e">
        <f>AND(#REF!,"AAAAAF7f3e0=")</f>
        <v>#REF!</v>
      </c>
      <c r="IE8" t="e">
        <f>AND(#REF!,"AAAAAF7f3e4=")</f>
        <v>#REF!</v>
      </c>
      <c r="IF8" t="e">
        <f>AND(#REF!,"AAAAAF7f3e8=")</f>
        <v>#REF!</v>
      </c>
      <c r="IG8" t="e">
        <f>AND(#REF!,"AAAAAF7f3fA=")</f>
        <v>#REF!</v>
      </c>
      <c r="IH8" t="e">
        <f>AND(#REF!,"AAAAAF7f3fE=")</f>
        <v>#REF!</v>
      </c>
      <c r="II8" t="e">
        <f>IF(#REF!,"AAAAAF7f3fI=",0)</f>
        <v>#REF!</v>
      </c>
      <c r="IJ8" t="e">
        <f>AND(#REF!,"AAAAAF7f3fM=")</f>
        <v>#REF!</v>
      </c>
      <c r="IK8" t="e">
        <f>AND(#REF!,"AAAAAF7f3fQ=")</f>
        <v>#REF!</v>
      </c>
      <c r="IL8" t="e">
        <f>AND(#REF!,"AAAAAF7f3fU=")</f>
        <v>#REF!</v>
      </c>
      <c r="IM8" t="e">
        <f>AND(#REF!,"AAAAAF7f3fY=")</f>
        <v>#REF!</v>
      </c>
      <c r="IN8" t="e">
        <f>AND(#REF!,"AAAAAF7f3fc=")</f>
        <v>#REF!</v>
      </c>
      <c r="IO8" t="e">
        <f>AND(#REF!,"AAAAAF7f3fg=")</f>
        <v>#REF!</v>
      </c>
      <c r="IP8" t="e">
        <f>AND(#REF!,"AAAAAF7f3fk=")</f>
        <v>#REF!</v>
      </c>
      <c r="IQ8" t="e">
        <f>AND(#REF!,"AAAAAF7f3fo=")</f>
        <v>#REF!</v>
      </c>
      <c r="IR8" t="e">
        <f>AND(#REF!,"AAAAAF7f3fs=")</f>
        <v>#REF!</v>
      </c>
      <c r="IS8" t="e">
        <f>AND(#REF!,"AAAAAF7f3fw=")</f>
        <v>#REF!</v>
      </c>
      <c r="IT8" t="e">
        <f>AND(#REF!,"AAAAAF7f3f0=")</f>
        <v>#REF!</v>
      </c>
      <c r="IU8" t="e">
        <f>AND(#REF!,"AAAAAF7f3f4=")</f>
        <v>#REF!</v>
      </c>
      <c r="IV8" t="e">
        <f>AND(#REF!,"AAAAAF7f3f8=")</f>
        <v>#REF!</v>
      </c>
    </row>
    <row r="9" spans="1:256" x14ac:dyDescent="0.2">
      <c r="A9" t="e">
        <f>AND(#REF!,"AAAAADp9PAA=")</f>
        <v>#REF!</v>
      </c>
      <c r="B9" t="e">
        <f>IF(#REF!,"AAAAADp9PAE=",0)</f>
        <v>#REF!</v>
      </c>
      <c r="C9" t="e">
        <f>AND(#REF!,"AAAAADp9PAI=")</f>
        <v>#REF!</v>
      </c>
      <c r="D9" t="e">
        <f>AND(#REF!,"AAAAADp9PAM=")</f>
        <v>#REF!</v>
      </c>
      <c r="E9" t="e">
        <f>AND(#REF!,"AAAAADp9PAQ=")</f>
        <v>#REF!</v>
      </c>
      <c r="F9" t="e">
        <f>AND(#REF!,"AAAAADp9PAU=")</f>
        <v>#REF!</v>
      </c>
      <c r="G9" t="e">
        <f>AND(#REF!,"AAAAADp9PAY=")</f>
        <v>#REF!</v>
      </c>
      <c r="H9" t="e">
        <f>AND(#REF!,"AAAAADp9PAc=")</f>
        <v>#REF!</v>
      </c>
      <c r="I9" t="e">
        <f>AND(#REF!,"AAAAADp9PAg=")</f>
        <v>#REF!</v>
      </c>
      <c r="J9" t="e">
        <f>AND(#REF!,"AAAAADp9PAk=")</f>
        <v>#REF!</v>
      </c>
      <c r="K9" t="e">
        <f>AND(#REF!,"AAAAADp9PAo=")</f>
        <v>#REF!</v>
      </c>
      <c r="L9" t="e">
        <f>AND(#REF!,"AAAAADp9PAs=")</f>
        <v>#REF!</v>
      </c>
      <c r="M9" t="e">
        <f>AND(#REF!,"AAAAADp9PAw=")</f>
        <v>#REF!</v>
      </c>
      <c r="N9" t="e">
        <f>AND(#REF!,"AAAAADp9PA0=")</f>
        <v>#REF!</v>
      </c>
      <c r="O9" t="e">
        <f>AND(#REF!,"AAAAADp9PA4=")</f>
        <v>#REF!</v>
      </c>
      <c r="P9" t="e">
        <f>AND(#REF!,"AAAAADp9PA8=")</f>
        <v>#REF!</v>
      </c>
      <c r="Q9" t="e">
        <f>IF(#REF!,"AAAAADp9PBA=",0)</f>
        <v>#REF!</v>
      </c>
      <c r="R9" t="e">
        <f>IF(#REF!,"AAAAADp9PBE=",0)</f>
        <v>#REF!</v>
      </c>
      <c r="S9" t="e">
        <f>IF(#REF!,"AAAAADp9PBI=",0)</f>
        <v>#REF!</v>
      </c>
      <c r="T9" t="e">
        <f>IF(#REF!,"AAAAADp9PBM=",0)</f>
        <v>#REF!</v>
      </c>
      <c r="U9" t="e">
        <f>IF(#REF!,"AAAAADp9PBQ=",0)</f>
        <v>#REF!</v>
      </c>
      <c r="V9" t="e">
        <f>IF(#REF!,"AAAAADp9PBU=",0)</f>
        <v>#REF!</v>
      </c>
      <c r="W9" t="e">
        <f>IF(#REF!,"AAAAADp9PBY=",0)</f>
        <v>#REF!</v>
      </c>
      <c r="X9" t="e">
        <f>IF(#REF!,"AAAAADp9PBc=",0)</f>
        <v>#REF!</v>
      </c>
      <c r="Y9" t="e">
        <f>IF(#REF!,"AAAAADp9PBg=",0)</f>
        <v>#REF!</v>
      </c>
      <c r="Z9" t="e">
        <f>IF(#REF!,"AAAAADp9PBk=",0)</f>
        <v>#REF!</v>
      </c>
      <c r="AA9" t="e">
        <f>IF(#REF!,"AAAAADp9PBo=",0)</f>
        <v>#REF!</v>
      </c>
      <c r="AB9" t="e">
        <f>IF(#REF!,"AAAAADp9PBs=",0)</f>
        <v>#REF!</v>
      </c>
      <c r="AC9" t="e">
        <f>IF(#REF!,"AAAAADp9PBw=",0)</f>
        <v>#REF!</v>
      </c>
      <c r="AD9" t="e">
        <f>IF(#REF!,"AAAAADp9PB0=",0)</f>
        <v>#REF!</v>
      </c>
      <c r="AE9" t="s">
        <v>18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6U-11U Roster</vt:lpstr>
      <vt:lpstr>7th Grade Roster</vt:lpstr>
    </vt:vector>
  </TitlesOfParts>
  <Company>HCBOC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dtorok</dc:creator>
  <cp:lastModifiedBy>Benjamin McDaniel</cp:lastModifiedBy>
  <cp:lastPrinted>2017-04-25T14:25:18Z</cp:lastPrinted>
  <dcterms:created xsi:type="dcterms:W3CDTF">2004-06-15T14:50:10Z</dcterms:created>
  <dcterms:modified xsi:type="dcterms:W3CDTF">2017-04-25T14:32:17Z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1wusIXLivssUaUua4rXYIzessnafi2gxyswyAwVjOUvQ</vt:lpwstr>
  </property>
  <property fmtid="{D5CDD505-2E9C-101B-9397-08002B2CF9AE}" pid="4" name="Google.Documents.RevisionId">
    <vt:lpwstr>17389228374259493947</vt:lpwstr>
  </property>
  <property fmtid="{D5CDD505-2E9C-101B-9397-08002B2CF9AE}" pid="5" name="Google.Documents.PluginVersion">
    <vt:lpwstr>2.0.2154.5604</vt:lpwstr>
  </property>
  <property fmtid="{D5CDD505-2E9C-101B-9397-08002B2CF9AE}" pid="6" name="Google.Documents.MergeIncapabilityFlags">
    <vt:i4>0</vt:i4>
  </property>
</Properties>
</file>